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Documentation\SPREADSHEET\"/>
    </mc:Choice>
  </mc:AlternateContent>
  <xr:revisionPtr revIDLastSave="0" documentId="8_{BA75FBF7-23CA-462D-BC86-0CD883CB93C6}" xr6:coauthVersionLast="47" xr6:coauthVersionMax="47" xr10:uidLastSave="{00000000-0000-0000-0000-000000000000}"/>
  <bookViews>
    <workbookView xWindow="-120" yWindow="-120" windowWidth="29040" windowHeight="15840" tabRatio="819" activeTab="2" xr2:uid="{00000000-000D-0000-FFFF-FFFF00000000}"/>
  </bookViews>
  <sheets>
    <sheet name="Instructions" sheetId="11" r:id="rId1"/>
    <sheet name="Spreadsheet explanation" sheetId="21" r:id="rId2"/>
    <sheet name="YF MAC-HD" sheetId="7" r:id="rId3"/>
    <sheet name="Example YF MAC-HD (French)" sheetId="37" r:id="rId4"/>
    <sheet name="YF MAC-HD control check" sheetId="8" state="hidden" r:id="rId5"/>
    <sheet name="YF MAC-ON" sheetId="2" r:id="rId6"/>
    <sheet name="Example YF MAC-ON (French)" sheetId="38" r:id="rId7"/>
    <sheet name="YF MAC-ON control check" sheetId="4" state="hidden" r:id="rId8"/>
  </sheets>
  <definedNames>
    <definedName name="_xlnm.Print_Area" localSheetId="0">Instructions!$A$1:$X$48</definedName>
    <definedName name="_xlnm.Print_Area" localSheetId="1">'Spreadsheet explanation'!$A$1:$AD$140</definedName>
    <definedName name="_xlnm.Print_Area" localSheetId="2">'YF MAC-HD'!$A$1:$N$67</definedName>
    <definedName name="_xlnm.Print_Area" localSheetId="4">'YF MAC-HD control check'!$A$1:$L$29</definedName>
    <definedName name="_xlnm.Print_Area" localSheetId="5">'YF MAC-ON'!$A$1:$N$67</definedName>
    <definedName name="_xlnm.Print_Area" localSheetId="7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2" l="1"/>
  <c r="J48" i="2"/>
  <c r="J51" i="2"/>
  <c r="J54" i="2"/>
  <c r="J57" i="2"/>
  <c r="J60" i="2"/>
  <c r="K60" i="2" s="1"/>
  <c r="L60" i="2" s="1"/>
  <c r="J63" i="2"/>
  <c r="J42" i="2"/>
  <c r="K42" i="2" s="1"/>
  <c r="L42" i="2" s="1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42" i="7"/>
  <c r="K45" i="2"/>
  <c r="L45" i="2" s="1"/>
  <c r="K48" i="2"/>
  <c r="L48" i="2" s="1"/>
  <c r="K51" i="2"/>
  <c r="L51" i="2" s="1"/>
  <c r="K54" i="2"/>
  <c r="L54" i="2" s="1"/>
  <c r="K57" i="2"/>
  <c r="L57" i="2" s="1"/>
  <c r="K63" i="2"/>
  <c r="L63" i="2" s="1"/>
  <c r="E29" i="2"/>
  <c r="C29" i="2"/>
  <c r="U109" i="21" l="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B2" i="8"/>
  <c r="B3" i="8"/>
  <c r="B4" i="8"/>
  <c r="E12" i="8" l="1"/>
  <c r="F12" i="8" s="1"/>
  <c r="E11" i="8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C30" i="7" l="1"/>
  <c r="E30" i="7" s="1"/>
  <c r="C29" i="7"/>
  <c r="E29" i="7" s="1"/>
  <c r="E26" i="7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H7" i="4"/>
  <c r="E25" i="2" s="1"/>
  <c r="G16" i="4"/>
  <c r="G17" i="4"/>
  <c r="D49" i="7" l="1"/>
  <c r="G46" i="7"/>
  <c r="D45" i="7"/>
  <c r="G62" i="7"/>
  <c r="G58" i="7"/>
  <c r="G63" i="7"/>
  <c r="G65" i="7"/>
  <c r="D53" i="7"/>
  <c r="G64" i="7"/>
  <c r="D46" i="7"/>
  <c r="D51" i="7"/>
  <c r="G48" i="7"/>
  <c r="D63" i="7"/>
  <c r="D43" i="7"/>
  <c r="D65" i="7"/>
  <c r="D44" i="7"/>
  <c r="G42" i="7"/>
  <c r="D50" i="7"/>
  <c r="G49" i="7"/>
  <c r="D64" i="7"/>
  <c r="G61" i="7"/>
  <c r="D47" i="7"/>
  <c r="D56" i="7"/>
  <c r="D48" i="7"/>
  <c r="G45" i="7"/>
  <c r="D60" i="7"/>
  <c r="D57" i="7"/>
  <c r="G52" i="7"/>
  <c r="G43" i="7"/>
  <c r="G56" i="7"/>
  <c r="G60" i="7"/>
  <c r="G53" i="7"/>
  <c r="G44" i="7"/>
  <c r="G47" i="7"/>
  <c r="D54" i="7"/>
  <c r="G54" i="7"/>
  <c r="G55" i="7"/>
  <c r="D62" i="7"/>
  <c r="D55" i="7"/>
  <c r="D42" i="7"/>
  <c r="G51" i="7"/>
  <c r="D52" i="7"/>
  <c r="G57" i="7"/>
  <c r="D61" i="7"/>
  <c r="D59" i="7"/>
  <c r="D58" i="7"/>
  <c r="G50" i="7"/>
  <c r="E60" i="7"/>
  <c r="E50" i="7"/>
  <c r="G18" i="4"/>
  <c r="C27" i="2" s="1"/>
  <c r="C30" i="2" s="1"/>
  <c r="E30" i="2" s="1"/>
  <c r="H16" i="4"/>
  <c r="E27" i="2" s="1"/>
  <c r="I60" i="7" l="1"/>
  <c r="J60" i="7" s="1"/>
  <c r="E53" i="7"/>
  <c r="E42" i="7"/>
  <c r="I42" i="7"/>
  <c r="J42" i="7" s="1"/>
  <c r="E44" i="7"/>
  <c r="E55" i="7"/>
  <c r="E56" i="7"/>
  <c r="I56" i="7"/>
  <c r="J56" i="7" s="1"/>
  <c r="E65" i="7"/>
  <c r="I65" i="7"/>
  <c r="J65" i="7" s="1"/>
  <c r="E62" i="7"/>
  <c r="E43" i="7"/>
  <c r="E59" i="7"/>
  <c r="I59" i="7"/>
  <c r="J59" i="7" s="1"/>
  <c r="E63" i="7"/>
  <c r="I63" i="7"/>
  <c r="J63" i="7" s="1"/>
  <c r="E61" i="7"/>
  <c r="E64" i="7"/>
  <c r="E58" i="7"/>
  <c r="I58" i="7"/>
  <c r="J58" i="7" s="1"/>
  <c r="E47" i="7"/>
  <c r="I47" i="7"/>
  <c r="J47" i="7" s="1"/>
  <c r="E54" i="7"/>
  <c r="E57" i="7"/>
  <c r="E51" i="7"/>
  <c r="I51" i="7"/>
  <c r="J51" i="7" s="1"/>
  <c r="E45" i="7"/>
  <c r="I45" i="7"/>
  <c r="J45" i="7" s="1"/>
  <c r="I52" i="7"/>
  <c r="J52" i="7" s="1"/>
  <c r="I50" i="7"/>
  <c r="J50" i="7" s="1"/>
  <c r="E46" i="7"/>
  <c r="E52" i="7"/>
  <c r="E49" i="7"/>
  <c r="E48" i="7"/>
  <c r="I48" i="7" s="1"/>
  <c r="J48" i="7" s="1"/>
  <c r="H17" i="4"/>
  <c r="I54" i="7" l="1"/>
  <c r="J54" i="7" s="1"/>
  <c r="I61" i="7"/>
  <c r="J61" i="7" s="1"/>
  <c r="I62" i="7"/>
  <c r="J62" i="7" s="1"/>
  <c r="I44" i="7"/>
  <c r="J44" i="7" s="1"/>
  <c r="I49" i="7"/>
  <c r="J49" i="7" s="1"/>
  <c r="I53" i="7"/>
  <c r="J53" i="7" s="1"/>
  <c r="I46" i="7"/>
  <c r="J46" i="7" s="1"/>
  <c r="I57" i="7"/>
  <c r="J57" i="7" s="1"/>
  <c r="I64" i="7"/>
  <c r="J64" i="7" s="1"/>
  <c r="I43" i="7"/>
  <c r="J43" i="7" s="1"/>
  <c r="I55" i="7"/>
  <c r="J55" i="7" s="1"/>
  <c r="E26" i="2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I45" i="2"/>
  <c r="I51" i="2"/>
  <c r="E54" i="2"/>
  <c r="E63" i="2"/>
  <c r="I60" i="2"/>
  <c r="I54" i="2"/>
  <c r="E60" i="2"/>
  <c r="I48" i="2"/>
  <c r="E51" i="2"/>
  <c r="E48" i="2"/>
  <c r="F48" i="2" s="1"/>
  <c r="I63" i="2"/>
  <c r="F42" i="2" l="1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<sst xmlns="http://schemas.openxmlformats.org/spreadsheetml/2006/main" count="473" uniqueCount="209">
  <si>
    <t>P/N</t>
  </si>
  <si>
    <t>PCVA</t>
  </si>
  <si>
    <t>PCNA</t>
  </si>
  <si>
    <t>NBR</t>
  </si>
  <si>
    <t>NBR (PCVA/PCNA)</t>
  </si>
  <si>
    <t>NCVA</t>
  </si>
  <si>
    <t>data</t>
  </si>
  <si>
    <t>input cell</t>
  </si>
  <si>
    <t>values</t>
  </si>
  <si>
    <t>Sample name</t>
  </si>
  <si>
    <t>VA OD</t>
  </si>
  <si>
    <t>NA OD</t>
  </si>
  <si>
    <t>Blank OD A1:D1</t>
  </si>
  <si>
    <t>Values minus blank</t>
  </si>
  <si>
    <t>Controls</t>
  </si>
  <si>
    <t>≥2</t>
  </si>
  <si>
    <t>K15</t>
  </si>
  <si>
    <t>K16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</si>
  <si>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</si>
  <si>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</si>
  <si>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</si>
  <si>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</si>
  <si>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</si>
  <si>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</si>
  <si>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</si>
  <si>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</si>
  <si>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</si>
  <si>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</si>
  <si>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</si>
  <si>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</si>
  <si>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</si>
  <si>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</si>
  <si>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</si>
  <si>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</si>
  <si>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</si>
  <si>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</si>
  <si>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</si>
  <si>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</si>
  <si>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</si>
  <si>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</si>
  <si>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</si>
  <si>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</si>
  <si>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</si>
  <si>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</si>
  <si>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</si>
  <si>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</si>
  <si>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</si>
  <si>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</si>
  <si>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</si>
  <si>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</si>
  <si>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</si>
  <si>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</si>
  <si>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</si>
  <si>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</si>
  <si>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PCVA-VL--------------MIN DIFFERENCE</t>
  </si>
  <si>
    <t>NCVA-VL-------------MIN DIFFERENCE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</si>
  <si>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</si>
  <si>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</si>
  <si>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</si>
  <si>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</si>
  <si>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</si>
  <si>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</si>
  <si>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</si>
  <si>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Blank</t>
  </si>
  <si>
    <t>≥0.6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</si>
  <si>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</si>
  <si>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</si>
  <si>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</si>
  <si>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</si>
  <si>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</si>
  <si>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</si>
  <si>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</si>
  <si>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</si>
  <si>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</si>
  <si>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</si>
  <si>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</si>
  <si>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</si>
  <si>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</si>
  <si>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</si>
  <si>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Date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</si>
  <si>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</si>
  <si>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</si>
  <si>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</si>
  <si>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</si>
  <si>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</si>
  <si>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</si>
  <si>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</si>
  <si>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</si>
  <si>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Assay Acceptance Criteria</t>
  </si>
  <si>
    <t>YF MAC-HD</t>
  </si>
  <si>
    <t>YF MAC-ON</t>
  </si>
  <si>
    <t>VA (or YFVA)</t>
  </si>
  <si>
    <t>NA</t>
  </si>
  <si>
    <t xml:space="preserve">            Sample 1</t>
  </si>
  <si>
    <t xml:space="preserve">             Sample 1</t>
  </si>
  <si>
    <t xml:space="preserve">            Sample 2</t>
  </si>
  <si>
    <t xml:space="preserve">             Sample 3</t>
  </si>
  <si>
    <t xml:space="preserve">             Sample 2</t>
  </si>
  <si>
    <t xml:space="preserve">             Sample 4</t>
  </si>
  <si>
    <t xml:space="preserve">             Sample 5</t>
  </si>
  <si>
    <t xml:space="preserve">             Sample 6</t>
  </si>
  <si>
    <t xml:space="preserve">            Sample 7</t>
  </si>
  <si>
    <t xml:space="preserve">            Sample 8</t>
  </si>
  <si>
    <t xml:space="preserve">             Sample 7</t>
  </si>
  <si>
    <t xml:space="preserve">             Sample 8</t>
  </si>
  <si>
    <t xml:space="preserve">             Sample 9</t>
  </si>
  <si>
    <t xml:space="preserve">             Sample 10</t>
  </si>
  <si>
    <t xml:space="preserve">             Sample 11</t>
  </si>
  <si>
    <t xml:space="preserve">             Sample 12</t>
  </si>
  <si>
    <t xml:space="preserve">             Sample 13</t>
  </si>
  <si>
    <t xml:space="preserve">             Sample 14</t>
  </si>
  <si>
    <t xml:space="preserve">             Sample 15</t>
  </si>
  <si>
    <t xml:space="preserve">             Sample 16</t>
  </si>
  <si>
    <t xml:space="preserve">             Sample 17</t>
  </si>
  <si>
    <t xml:space="preserve">             Sample 18</t>
  </si>
  <si>
    <t xml:space="preserve">             Sample 19</t>
  </si>
  <si>
    <t xml:space="preserve">             Sample 20</t>
  </si>
  <si>
    <t xml:space="preserve">             Sample 21</t>
  </si>
  <si>
    <t xml:space="preserve">             Sample 22</t>
  </si>
  <si>
    <t xml:space="preserve">             Sample 23</t>
  </si>
  <si>
    <t xml:space="preserve">             Sample 24</t>
  </si>
  <si>
    <t xml:space="preserve">            Sample 3</t>
  </si>
  <si>
    <t xml:space="preserve">            Sample 4</t>
  </si>
  <si>
    <t xml:space="preserve">            Sample 5</t>
  </si>
  <si>
    <t xml:space="preserve">            Sample 6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</si>
  <si>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</si>
  <si>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</si>
  <si>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</si>
  <si>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t xml:space="preserve">                             PCNA 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</si>
  <si>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</si>
  <si>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</si>
  <si>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</si>
  <si>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</si>
  <si>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</si>
  <si>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</si>
  <si>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</si>
  <si>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</si>
  <si>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</si>
  <si>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</si>
  <si>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</si>
  <si>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</si>
  <si>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</si>
  <si>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</si>
  <si>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</si>
  <si>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C20</t>
  </si>
  <si>
    <t>E20</t>
  </si>
  <si>
    <t>G20</t>
  </si>
  <si>
    <t>I20</t>
  </si>
  <si>
    <t>Instructions pour l'utilisation de la feuille de calcul YF MAC-HD et YF MAC-ON</t>
  </si>
  <si>
    <t>Exécutez votre test et NE PAS VIDER le lecteur</t>
  </si>
  <si>
    <t>Le copier-coller donne les résultats dans les cellules supérieures colorées en jaune des feuilles YF MAC-HD ou YF MAC-ON (les échantillons sont exécutés seuls pour YF MAC-HD et en triple exemplaire pour YF MAC-ON)</t>
  </si>
  <si>
    <t>Les contrôles seront vérifiés automatiquement et si le test est valide, les résultats de vos échantillons apparaîtront dans le tableau au bas de la feuille.</t>
  </si>
  <si>
    <t>Notez que si les contrôles ne sont pas valides, aucun résultat ne sera calculé</t>
  </si>
  <si>
    <t>Entrez le nom de l’opérateur, la date, le lot de kit#, la date d’expiration du kit, le laboratoire et la méthode de lavage utilisés dans les cellules du milieu colorées en jaune</t>
  </si>
  <si>
    <t>Entrez vos noms d’échantillons dans les cellules inférieures colorées en jaune dans le tableau des résultats.</t>
  </si>
  <si>
    <t>Seules les cellules colorées en jaune peuvent être modifiées ; les autres sont verrouillés.</t>
  </si>
  <si>
    <t>mise en place de plaque</t>
  </si>
  <si>
    <t>Vide</t>
  </si>
  <si>
    <t xml:space="preserve"> Contrôle positif sur VA</t>
  </si>
  <si>
    <t>Négatif
 contrôle sur VA</t>
  </si>
  <si>
    <t xml:space="preserve"> Négatif
 contrôle sur VA</t>
  </si>
  <si>
    <t>COLLER COMME "VALEURS"</t>
  </si>
  <si>
    <t xml:space="preserve">COLLER OD'S DANS LE HAUT </t>
  </si>
  <si>
    <t>CELLULES COLORÉES EN JAUNE</t>
  </si>
  <si>
    <t>DES onglets YF NAC-HD et YF MAC-ON.</t>
  </si>
  <si>
    <t xml:space="preserve">NE PAS UTILISER AUTOMATIQUEM </t>
  </si>
  <si>
    <t>ENT BLANC RÉSULTATS</t>
  </si>
  <si>
    <t>Puits Vide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</si>
  <si>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Absorbance moyenne avec l'antigène viral</t>
    </r>
  </si>
  <si>
    <t xml:space="preserve">                    Absorbance moyenne du contrôle négatif avec l'antigène viral</t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</si>
  <si>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(*Remarque : si la NCVA est &lt; 0,05, utilisez 0,05 pour les calculs)</t>
    </r>
  </si>
  <si>
    <r>
      <t>•</t>
    </r>
    <r>
      <rPr>
        <b/>
        <sz val="12"/>
        <color rgb="FF000000"/>
        <rFont val="Calibri"/>
        <family val="2"/>
      </rPr>
      <t>P/N for sample(s)</t>
    </r>
    <r>
      <rPr>
        <sz val="12"/>
        <color rgb="FF000000"/>
        <rFont val="Calibri"/>
        <family val="2"/>
      </rPr>
      <t>= Moyenne</t>
    </r>
    <r>
      <rPr>
        <u/>
        <sz val="12"/>
        <color rgb="FF000000"/>
        <rFont val="Calibri"/>
        <family val="2"/>
      </rPr>
      <t xml:space="preserve"> VA OD</t>
    </r>
  </si>
  <si>
    <r>
      <t xml:space="preserve">                                           NCVA</t>
    </r>
    <r>
      <rPr>
        <b/>
        <sz val="12"/>
        <color theme="1"/>
        <rFont val="Calibri"/>
        <family val="2"/>
      </rPr>
      <t>(</t>
    </r>
    <r>
      <rPr>
        <b/>
        <u/>
        <sz val="12"/>
        <color theme="1"/>
        <rFont val="Calibri"/>
        <family val="2"/>
      </rPr>
      <t>*Remarque : si la NCVA est &lt; 0,05, utilisez 0,05 pour les calculs</t>
    </r>
    <r>
      <rPr>
        <b/>
        <sz val="12"/>
        <color theme="1"/>
        <rFont val="Calibri"/>
        <family val="2"/>
      </rPr>
      <t>)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</si>
  <si>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Absorbance moyenne avec l'antigène viral</t>
    </r>
  </si>
  <si>
    <t xml:space="preserve">                    Absorbance moyenne avec un antigène normal</t>
  </si>
  <si>
    <t xml:space="preserve">                                             Moyenne NA OD</t>
  </si>
  <si>
    <r>
      <t>•</t>
    </r>
    <r>
      <rPr>
        <b/>
        <sz val="12"/>
        <color rgb="FF000000"/>
        <rFont val="Calibri"/>
        <family val="2"/>
      </rPr>
      <t>NBR for sample(s)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Moyenne VA OD</t>
    </r>
  </si>
  <si>
    <r>
      <rPr>
        <b/>
        <u/>
        <sz val="16"/>
        <color theme="1"/>
        <rFont val="Calibri"/>
        <family val="2"/>
        <scheme val="minor"/>
      </rPr>
      <t>*Remarque</t>
    </r>
    <r>
      <rPr>
        <b/>
        <sz val="16"/>
        <color theme="1"/>
        <rFont val="Calibri"/>
        <family val="2"/>
        <scheme val="minor"/>
      </rPr>
      <t xml:space="preserve"> : Reportez-vous à la section des calculs manuels des instructions d'utilisation (IFU) pour plus de détails.</t>
    </r>
  </si>
  <si>
    <t>Blanc OD A1:D1 au format plaque 96 puits</t>
  </si>
  <si>
    <t>Résultat</t>
  </si>
  <si>
    <t>Critère</t>
  </si>
  <si>
    <t>Valide?</t>
  </si>
  <si>
    <t>Interprétations des résultats des tests</t>
  </si>
  <si>
    <t>Cellule</t>
  </si>
  <si>
    <t>Résultat du test</t>
  </si>
  <si>
    <t>Mesure/Rapport</t>
  </si>
  <si>
    <r>
      <rPr>
        <b/>
        <u/>
        <sz val="11"/>
        <color theme="1"/>
        <rFont val="Calibri"/>
        <family val="2"/>
        <scheme val="minor"/>
      </rPr>
      <t xml:space="preserve">REMARQUE 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Tous les calculs de cette feuille de calcul utiliseront les valeurs non arrondies stockées dans ces cellules ; ainsi, les calculs manuels effectués avec les valeurs affichées peuvent </t>
    </r>
    <r>
      <rPr>
        <b/>
        <sz val="11"/>
        <color theme="1"/>
        <rFont val="Calibri"/>
        <family val="2"/>
        <scheme val="minor"/>
      </rPr>
      <t>NE PAS</t>
    </r>
    <r>
      <rPr>
        <sz val="11"/>
        <color theme="1"/>
        <rFont val="Calibri"/>
        <family val="2"/>
        <scheme val="minor"/>
      </rPr>
      <t xml:space="preserve"> s'aligner sur les valeurs calculées automatiquement</t>
    </r>
  </si>
  <si>
    <r>
      <rPr>
        <b/>
        <u/>
        <sz val="11"/>
        <color theme="1"/>
        <rFont val="Calibri"/>
        <family val="2"/>
        <scheme val="minor"/>
      </rPr>
      <t>REMARQUE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 xml:space="preserve">Tous les calculs de cette feuille de calcul utiliseront les valeurs non arrondies stockées dans ces cellules ; ainsi, les calculs manuels effectués avec les valeurs affichées peuvent </t>
    </r>
    <r>
      <rPr>
        <b/>
        <sz val="11"/>
        <color theme="1"/>
        <rFont val="Calibri"/>
        <family val="2"/>
        <scheme val="minor"/>
      </rPr>
      <t>NE PAS</t>
    </r>
    <r>
      <rPr>
        <sz val="11"/>
        <color theme="1"/>
        <rFont val="Calibri"/>
        <family val="2"/>
        <scheme val="minor"/>
      </rPr>
      <t xml:space="preserve"> s'aligner sur les valeurs calculées automatiquement</t>
    </r>
  </si>
  <si>
    <t>MOYENNE NA OD</t>
  </si>
  <si>
    <t>MOYENNE VA OD</t>
  </si>
  <si>
    <t>Identification nom</t>
  </si>
  <si>
    <t>Tous les contrôles sont-ils valides?*</t>
  </si>
  <si>
    <t>Tous les contrôles sont-ils valides?</t>
  </si>
  <si>
    <t>P/N for Pos contrôle</t>
  </si>
  <si>
    <t>PCVA-VL--------------MIN DIFFÉRENCE</t>
  </si>
  <si>
    <t>NCVA-VL-------------MIN DIFFÉRENCE</t>
  </si>
  <si>
    <t>Nom de l'opérateur</t>
  </si>
  <si>
    <t>Numéro de lot du kit</t>
  </si>
  <si>
    <t>Date de péremption du kit</t>
  </si>
  <si>
    <t>Laboratoire</t>
  </si>
  <si>
    <t>Méthode de lavage</t>
  </si>
  <si>
    <t>Contrôles</t>
  </si>
  <si>
    <t>YF MAC-ON (Pendant la nuit) FEUILLE DE CALCUL</t>
  </si>
  <si>
    <t>Jane Basile</t>
  </si>
  <si>
    <t>18 November 2020</t>
  </si>
  <si>
    <t>ATCC-70036817</t>
  </si>
  <si>
    <t>31 July 2021</t>
  </si>
  <si>
    <t>Arbovirus US CDC</t>
  </si>
  <si>
    <t>Automatic 96-well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</si>
</sst>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78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0" fontId="0" fillId="6" borderId="18" xfId="0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56" xfId="0" applyNumberFormat="1" applyFont="1" applyFill="1" applyBorder="1" applyAlignment="1" applyProtection="1">
      <alignment horizontal="center" wrapText="1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0" fontId="36" fillId="0" borderId="0" xfId="0" applyFont="1" applyProtection="1"/>
    <xf numFmtId="0" fontId="0" fillId="13" borderId="71" xfId="0" applyFill="1" applyBorder="1" applyAlignment="1" applyProtection="1">
      <alignment horizontal="center" wrapText="1"/>
    </xf>
    <xf numFmtId="164" fontId="0" fillId="2" borderId="4" xfId="0" applyNumberFormat="1" applyFill="1" applyBorder="1" applyProtection="1"/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64" fontId="0" fillId="14" borderId="58" xfId="0" applyNumberFormat="1" applyFill="1" applyBorder="1" applyAlignment="1" applyProtection="1">
      <alignment horizontal="center" vertical="center" wrapText="1"/>
      <protection locked="0"/>
    </xf>
    <xf numFmtId="164" fontId="0" fillId="14" borderId="59" xfId="0" applyNumberFormat="1" applyFill="1" applyBorder="1" applyAlignment="1" applyProtection="1">
      <alignment horizontal="center" vertical="center" wrapText="1"/>
      <protection locked="0"/>
    </xf>
    <xf numFmtId="164" fontId="0" fillId="14" borderId="60" xfId="0" applyNumberFormat="1" applyFill="1" applyBorder="1" applyAlignment="1" applyProtection="1">
      <alignment horizontal="center" vertical="center" wrapText="1"/>
      <protection locked="0"/>
    </xf>
    <xf numFmtId="164" fontId="0" fillId="14" borderId="61" xfId="0" applyNumberFormat="1" applyFill="1" applyBorder="1" applyAlignment="1" applyProtection="1">
      <alignment horizontal="center" vertical="center" wrapText="1"/>
      <protection locked="0"/>
    </xf>
    <xf numFmtId="164" fontId="0" fillId="14" borderId="45" xfId="0" applyNumberFormat="1" applyFill="1" applyBorder="1" applyAlignment="1" applyProtection="1">
      <alignment horizontal="center" vertical="center" wrapText="1"/>
      <protection locked="0"/>
    </xf>
    <xf numFmtId="164" fontId="0" fillId="14" borderId="62" xfId="0" applyNumberFormat="1" applyFill="1" applyBorder="1" applyAlignment="1" applyProtection="1">
      <alignment horizontal="center" vertical="center" wrapText="1"/>
      <protection locked="0"/>
    </xf>
    <xf numFmtId="164" fontId="0" fillId="14" borderId="63" xfId="0" applyNumberFormat="1" applyFill="1" applyBorder="1" applyAlignment="1" applyProtection="1">
      <alignment horizontal="center" vertical="center" wrapText="1"/>
      <protection locked="0"/>
    </xf>
    <xf numFmtId="164" fontId="0" fillId="14" borderId="64" xfId="0" applyNumberFormat="1" applyFill="1" applyBorder="1" applyAlignment="1" applyProtection="1">
      <alignment horizontal="center" vertical="center" wrapText="1"/>
      <protection locked="0"/>
    </xf>
    <xf numFmtId="164" fontId="0" fillId="14" borderId="65" xfId="0" applyNumberFormat="1" applyFill="1" applyBorder="1" applyAlignment="1" applyProtection="1">
      <alignment horizontal="center" vertical="center" wrapText="1"/>
      <protection locked="0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49" xfId="2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0" fontId="0" fillId="15" borderId="9" xfId="0" applyFill="1" applyBorder="1" applyProtection="1"/>
    <xf numFmtId="0" fontId="0" fillId="15" borderId="0" xfId="0" applyFill="1" applyBorder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165" fontId="0" fillId="0" borderId="72" xfId="0" applyNumberFormat="1" applyBorder="1" applyAlignment="1" applyProtection="1">
      <alignment horizontal="center" vertical="center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57" xfId="0" applyNumberFormat="1" applyFill="1" applyBorder="1" applyAlignment="1" applyProtection="1">
      <alignment horizontal="center" vertical="center"/>
      <protection locked="0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74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  <xf numFmtId="164" fontId="0" fillId="0" borderId="75" xfId="0" applyNumberFormat="1" applyBorder="1" applyAlignment="1" applyProtection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390525"/>
          <a:ext cx="1495425" cy="7054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La lecture moyenne du blanc OD est calculée  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501775" y="7416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La DO moyenne du blanc est soustraite de toutes les lectures de DO du puits  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15425" y="10010775"/>
          <a:ext cx="3054350" cy="9588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PCVA-VL ---DIFFERENCE MIN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Déterminez si les trois valeurs d'absorbance soustraites du blanc sont &lt; 0,3 différentes les unes des autres en soustrayant la plus petite valeur d'absorbance soustraite du blanc de la valeur médiane et la moyenne de la plus élevée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 =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contrôle négatif moyen sur l'antigène de la fièvre jaune.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*Remarque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: Si la NCVA est inférieure à 0,05 (&lt; 0,05), la feuille de calcul Excel utilisera 0,05 pour tous les calculs 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NCVA-VL ---MIN DIFFERENCE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Déterminez si les trois valeurs d'absorbance soustraites à blanc sont &lt; 0,025 différentes les unes des autres en soustrayant la plus petite valeur d'absorbance soustraite à blanc de la valeur médiane et la moyenne de la plus élevée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Calculer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40975" y="16370301"/>
          <a:ext cx="1479550" cy="6413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Contrôle positif moyen sur antigène normal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MOYENNE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MOYENNE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Acronymes des feuilles de calcul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Densité optique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Fièvre jaune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 Antigène viral(YF)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Antigène norma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 Contrôle positif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Contrôle négatif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 Moyenne PC on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Moyenne NC on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Moyenne PC on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PCVA limite de variabilité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NCVA limite de variabilité</a:t>
          </a:r>
          <a:endParaRPr lang="en-US" sz="1050" b="1">
            <a:solidFill>
              <a:sysClr val="windowText" lastClr="000000"/>
            </a:solidFill>
          </a:endParaRP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Rapport de fond normal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Rapport de l'absorbance moyenne avec l'antigène viral à l'absorbance moyenne du contrôle négatif avec l'antigène viral</a:t>
          </a:r>
        </a:p>
        <a:p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72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AD5D3-AC79-2805-DB42-10C1696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82725" cy="146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72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2945E-8BD5-AFA0-9D34-DB10C384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63950" cy="1468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C24" sqref="C24"/>
    </sheetView>
  </sheetViews>
  <sheetFormatPr defaultColWidth="9.140625" defaultRowHeight="15" x14ac:dyDescent="0.25"/>
  <cols>
    <col min="1" max="23" width="9.140625" style="15"/>
    <col min="24" max="24" width="37.28515625" style="15" customWidth="1"/>
    <col min="25" max="16384" width="9.140625" style="15"/>
  </cols>
  <sheetData>
    <row r="2" spans="1:24" ht="21" x14ac:dyDescent="0.35">
      <c r="A2" s="56" t="s">
        <v>148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4" ht="21" x14ac:dyDescent="0.35">
      <c r="A3" s="57">
        <v>1</v>
      </c>
      <c r="B3" s="57" t="s">
        <v>149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4" ht="21" x14ac:dyDescent="0.35">
      <c r="A4" s="122">
        <v>2</v>
      </c>
      <c r="B4" s="122" t="s">
        <v>150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3"/>
      <c r="R4" s="123"/>
      <c r="S4" s="123"/>
      <c r="T4" s="123"/>
      <c r="U4" s="123"/>
      <c r="V4" s="123"/>
      <c r="W4" s="123"/>
      <c r="X4" s="123"/>
    </row>
    <row r="5" spans="1:24" ht="21" x14ac:dyDescent="0.35">
      <c r="A5" s="122">
        <v>3</v>
      </c>
      <c r="B5" s="122" t="s">
        <v>151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23"/>
      <c r="R5" s="123"/>
      <c r="S5" s="123"/>
      <c r="T5" s="123"/>
      <c r="U5" s="123"/>
      <c r="V5" s="123"/>
    </row>
    <row r="6" spans="1:24" ht="21" x14ac:dyDescent="0.35">
      <c r="A6" s="122"/>
      <c r="B6" s="122" t="s">
        <v>152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23"/>
      <c r="R6" s="123"/>
      <c r="S6" s="123"/>
      <c r="T6" s="123"/>
      <c r="U6" s="123"/>
      <c r="V6" s="123"/>
    </row>
    <row r="7" spans="1:24" ht="21" x14ac:dyDescent="0.35">
      <c r="A7" s="122">
        <v>4</v>
      </c>
      <c r="B7" s="122" t="s">
        <v>153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23"/>
      <c r="R7" s="123"/>
      <c r="S7" s="123"/>
      <c r="T7" s="123"/>
      <c r="U7" s="123"/>
      <c r="V7" s="123"/>
    </row>
    <row r="8" spans="1:24" ht="21" x14ac:dyDescent="0.35">
      <c r="A8" s="122">
        <v>5</v>
      </c>
      <c r="B8" s="122" t="s">
        <v>154</v>
      </c>
      <c r="C8" s="123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123"/>
      <c r="R8" s="123"/>
      <c r="S8" s="123"/>
      <c r="T8" s="123"/>
      <c r="U8" s="123"/>
      <c r="V8" s="123"/>
    </row>
    <row r="9" spans="1:24" ht="21" x14ac:dyDescent="0.3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  <c r="Q9" s="123"/>
      <c r="R9" s="123"/>
      <c r="S9" s="123"/>
      <c r="T9" s="123"/>
      <c r="U9" s="123"/>
      <c r="V9" s="123"/>
    </row>
    <row r="10" spans="1:24" ht="21" x14ac:dyDescent="0.35">
      <c r="A10" s="122"/>
      <c r="B10" s="122" t="s">
        <v>155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123"/>
      <c r="R10" s="123"/>
      <c r="S10" s="123"/>
      <c r="T10" s="123"/>
      <c r="U10" s="123"/>
      <c r="V10" s="123"/>
    </row>
    <row r="11" spans="1:24" ht="21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24" ht="21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5" spans="1:24" ht="21" x14ac:dyDescent="0.35">
      <c r="A15" s="56"/>
      <c r="B15" s="58"/>
      <c r="C15" s="58"/>
    </row>
    <row r="16" spans="1:24" ht="21" x14ac:dyDescent="0.35">
      <c r="A16" s="59"/>
      <c r="B16" s="5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21" x14ac:dyDescent="0.35">
      <c r="A17" s="59"/>
      <c r="B17" s="5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21" x14ac:dyDescent="0.35">
      <c r="A18" s="59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21" x14ac:dyDescent="0.35">
      <c r="A19" s="5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" x14ac:dyDescent="0.35">
      <c r="A20" s="59"/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" x14ac:dyDescent="0.3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1" x14ac:dyDescent="0.3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21" x14ac:dyDescent="0.35">
      <c r="A23" s="59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21" x14ac:dyDescent="0.35">
      <c r="A24" s="59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21" x14ac:dyDescent="0.3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8" spans="1:17" ht="21" x14ac:dyDescent="0.35">
      <c r="A28" s="56"/>
      <c r="B28" s="57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7" ht="21" x14ac:dyDescent="0.35">
      <c r="A29" s="62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4"/>
      <c r="N29" s="65"/>
      <c r="O29" s="65"/>
    </row>
    <row r="30" spans="1:17" ht="21" x14ac:dyDescent="0.35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4"/>
      <c r="N30" s="65"/>
      <c r="O30" s="65"/>
    </row>
    <row r="31" spans="1:17" ht="21" x14ac:dyDescent="0.3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4"/>
      <c r="N31" s="65"/>
      <c r="O31" s="65"/>
    </row>
    <row r="32" spans="1:17" ht="21" x14ac:dyDescent="0.35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4"/>
      <c r="N32" s="65"/>
      <c r="O32" s="65"/>
    </row>
    <row r="33" spans="1:17" ht="21" x14ac:dyDescent="0.35">
      <c r="A33" s="6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4"/>
      <c r="N33" s="65"/>
      <c r="O33" s="65"/>
    </row>
    <row r="34" spans="1:17" ht="21" x14ac:dyDescent="0.35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4"/>
      <c r="N34" s="65"/>
      <c r="O34" s="65"/>
    </row>
    <row r="35" spans="1:17" ht="21" x14ac:dyDescent="0.35">
      <c r="A35" s="62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4"/>
      <c r="N35" s="65"/>
      <c r="O35" s="65"/>
    </row>
    <row r="36" spans="1:17" ht="21" x14ac:dyDescent="0.35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4"/>
      <c r="N36" s="65"/>
      <c r="O36" s="65"/>
    </row>
    <row r="37" spans="1:17" ht="21" x14ac:dyDescent="0.3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40" spans="1:17" ht="21" x14ac:dyDescent="0.35">
      <c r="A40" s="56"/>
      <c r="B40" s="56"/>
      <c r="C40" s="66"/>
      <c r="D40" s="66"/>
      <c r="E40" s="66"/>
      <c r="F40" s="66"/>
      <c r="G40" s="66"/>
    </row>
    <row r="41" spans="1:17" ht="21" x14ac:dyDescent="0.35">
      <c r="A41" s="67"/>
      <c r="B41" s="67"/>
      <c r="C41" s="68"/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</row>
    <row r="42" spans="1:17" ht="21" x14ac:dyDescent="0.35">
      <c r="A42" s="67"/>
      <c r="B42" s="67"/>
      <c r="C42" s="68"/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</row>
    <row r="43" spans="1:17" ht="21" x14ac:dyDescent="0.35">
      <c r="A43" s="67"/>
      <c r="B43" s="67"/>
      <c r="C43" s="68"/>
      <c r="D43" s="68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</row>
    <row r="44" spans="1:17" ht="21" x14ac:dyDescent="0.35">
      <c r="A44" s="67"/>
      <c r="B44" s="67"/>
      <c r="C44" s="68"/>
      <c r="D44" s="68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</row>
    <row r="45" spans="1:17" ht="21" x14ac:dyDescent="0.35">
      <c r="A45" s="67"/>
      <c r="B45" s="67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</row>
    <row r="46" spans="1:17" ht="21" x14ac:dyDescent="0.35">
      <c r="A46" s="67"/>
      <c r="B46" s="67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</row>
    <row r="47" spans="1:17" ht="21" x14ac:dyDescent="0.35">
      <c r="A47" s="67"/>
      <c r="B47" s="67"/>
      <c r="C47" s="68"/>
      <c r="D47" s="68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</row>
    <row r="48" spans="1:17" ht="21" x14ac:dyDescent="0.35">
      <c r="A48" s="67"/>
      <c r="B48" s="67"/>
      <c r="C48" s="68"/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</row>
    <row r="49" spans="1:17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</sheetData>
  <sheetProtection algorithmName="SHA-512" hashValue="ex08COq59MWC45O9SPQW4BKNM02KbJCfXap1SVvY+rRWtOsfiiTcft4hLllDOUE/lCyX+XPa62BdbApq2FPGmQ==" saltValue="ksipqjwIWspJAIv39nprH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topLeftCell="B109" zoomScaleNormal="100" workbookViewId="0">
      <selection activeCell="Q33" sqref="Q33:T38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156</v>
      </c>
      <c r="F2" s="237" t="s">
        <v>89</v>
      </c>
      <c r="G2" s="238"/>
      <c r="H2" s="239"/>
      <c r="T2" s="237" t="s">
        <v>90</v>
      </c>
      <c r="U2" s="238"/>
      <c r="V2" s="239"/>
      <c r="W2" s="98"/>
      <c r="X2" s="98"/>
      <c r="Y2" s="76"/>
      <c r="Z2" s="76"/>
      <c r="AA2" s="76"/>
    </row>
    <row r="19" spans="2:27" ht="15.75" thickBot="1" x14ac:dyDescent="0.3"/>
    <row r="20" spans="2:27" x14ac:dyDescent="0.25">
      <c r="B20" s="16" t="s">
        <v>157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P20" s="16" t="s">
        <v>157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</row>
    <row r="21" spans="2:27" ht="15" customHeight="1" x14ac:dyDescent="0.25">
      <c r="B21" s="19" t="s">
        <v>157</v>
      </c>
      <c r="C21" s="95" t="s">
        <v>94</v>
      </c>
      <c r="D21" s="96"/>
      <c r="E21" s="95" t="s">
        <v>103</v>
      </c>
      <c r="F21" s="96"/>
      <c r="G21" s="95" t="s">
        <v>109</v>
      </c>
      <c r="H21" s="96"/>
      <c r="I21" s="95" t="s">
        <v>115</v>
      </c>
      <c r="J21" s="97"/>
      <c r="K21" s="240" t="s">
        <v>158</v>
      </c>
      <c r="L21" s="243" t="s">
        <v>158</v>
      </c>
      <c r="M21" s="21"/>
      <c r="P21" s="19" t="s">
        <v>157</v>
      </c>
      <c r="Q21" s="100"/>
      <c r="R21" s="99"/>
      <c r="S21" s="100"/>
      <c r="T21" s="99"/>
      <c r="U21" s="100"/>
      <c r="V21" s="99"/>
      <c r="W21" s="100"/>
      <c r="X21" s="99"/>
      <c r="Y21" s="240" t="s">
        <v>158</v>
      </c>
      <c r="Z21" s="243" t="s">
        <v>158</v>
      </c>
      <c r="AA21" s="21"/>
    </row>
    <row r="22" spans="2:27" x14ac:dyDescent="0.25">
      <c r="B22" s="19" t="s">
        <v>157</v>
      </c>
      <c r="C22" s="95" t="s">
        <v>97</v>
      </c>
      <c r="D22" s="96"/>
      <c r="E22" s="95" t="s">
        <v>104</v>
      </c>
      <c r="F22" s="96"/>
      <c r="G22" s="95" t="s">
        <v>110</v>
      </c>
      <c r="H22" s="96"/>
      <c r="I22" s="95" t="s">
        <v>116</v>
      </c>
      <c r="J22" s="97"/>
      <c r="K22" s="241"/>
      <c r="L22" s="241"/>
      <c r="M22" s="21"/>
      <c r="P22" s="19" t="s">
        <v>157</v>
      </c>
      <c r="Q22" s="104" t="s">
        <v>93</v>
      </c>
      <c r="R22" s="101"/>
      <c r="S22" s="104" t="s">
        <v>121</v>
      </c>
      <c r="T22" s="101"/>
      <c r="U22" s="104" t="s">
        <v>123</v>
      </c>
      <c r="V22" s="101"/>
      <c r="W22" s="104" t="s">
        <v>101</v>
      </c>
      <c r="X22" s="101"/>
      <c r="Y22" s="241"/>
      <c r="Z22" s="241"/>
      <c r="AA22" s="21"/>
    </row>
    <row r="23" spans="2:27" x14ac:dyDescent="0.25">
      <c r="B23" s="19" t="s">
        <v>157</v>
      </c>
      <c r="C23" s="95" t="s">
        <v>96</v>
      </c>
      <c r="D23" s="96"/>
      <c r="E23" s="95" t="s">
        <v>105</v>
      </c>
      <c r="F23" s="96"/>
      <c r="G23" s="95" t="s">
        <v>111</v>
      </c>
      <c r="H23" s="96"/>
      <c r="I23" s="95" t="s">
        <v>117</v>
      </c>
      <c r="J23" s="97"/>
      <c r="K23" s="242"/>
      <c r="L23" s="242"/>
      <c r="M23" s="21"/>
      <c r="P23" s="19" t="s">
        <v>157</v>
      </c>
      <c r="Q23" s="103"/>
      <c r="R23" s="102"/>
      <c r="S23" s="103"/>
      <c r="T23" s="102"/>
      <c r="U23" s="103"/>
      <c r="V23" s="102"/>
      <c r="W23" s="103"/>
      <c r="X23" s="102"/>
      <c r="Y23" s="242"/>
      <c r="Z23" s="242"/>
      <c r="AA23" s="21"/>
    </row>
    <row r="24" spans="2:27" ht="15" customHeight="1" x14ac:dyDescent="0.25">
      <c r="B24" s="22"/>
      <c r="C24" s="95" t="s">
        <v>98</v>
      </c>
      <c r="D24" s="96"/>
      <c r="E24" s="95" t="s">
        <v>106</v>
      </c>
      <c r="F24" s="96"/>
      <c r="G24" s="95" t="s">
        <v>112</v>
      </c>
      <c r="H24" s="96"/>
      <c r="I24" s="95" t="s">
        <v>118</v>
      </c>
      <c r="J24" s="96"/>
      <c r="K24" s="244" t="s">
        <v>159</v>
      </c>
      <c r="L24" s="245" t="s">
        <v>160</v>
      </c>
      <c r="M24" s="21"/>
      <c r="P24" s="22"/>
      <c r="Q24" s="100"/>
      <c r="R24" s="99"/>
      <c r="S24" s="100"/>
      <c r="T24" s="99"/>
      <c r="U24" s="100"/>
      <c r="V24" s="99"/>
      <c r="W24" s="100"/>
      <c r="X24" s="99"/>
      <c r="Y24" s="244" t="s">
        <v>159</v>
      </c>
      <c r="Z24" s="245" t="s">
        <v>160</v>
      </c>
      <c r="AA24" s="21"/>
    </row>
    <row r="25" spans="2:27" x14ac:dyDescent="0.25">
      <c r="B25" s="22"/>
      <c r="C25" s="95" t="s">
        <v>99</v>
      </c>
      <c r="D25" s="96"/>
      <c r="E25" s="95" t="s">
        <v>107</v>
      </c>
      <c r="F25" s="96"/>
      <c r="G25" s="95" t="s">
        <v>113</v>
      </c>
      <c r="H25" s="96"/>
      <c r="I25" s="95" t="s">
        <v>119</v>
      </c>
      <c r="J25" s="96"/>
      <c r="K25" s="241"/>
      <c r="L25" s="241"/>
      <c r="M25" s="21"/>
      <c r="P25" s="22"/>
      <c r="Q25" s="104" t="s">
        <v>95</v>
      </c>
      <c r="R25" s="101"/>
      <c r="S25" s="104" t="s">
        <v>122</v>
      </c>
      <c r="T25" s="101"/>
      <c r="U25" s="104" t="s">
        <v>124</v>
      </c>
      <c r="V25" s="101"/>
      <c r="W25" s="104" t="s">
        <v>102</v>
      </c>
      <c r="X25" s="101"/>
      <c r="Y25" s="241"/>
      <c r="Z25" s="241"/>
      <c r="AA25" s="21"/>
    </row>
    <row r="26" spans="2:27" x14ac:dyDescent="0.25">
      <c r="B26" s="22"/>
      <c r="C26" s="95" t="s">
        <v>100</v>
      </c>
      <c r="D26" s="96"/>
      <c r="E26" s="95" t="s">
        <v>108</v>
      </c>
      <c r="F26" s="96"/>
      <c r="G26" s="95" t="s">
        <v>114</v>
      </c>
      <c r="H26" s="96"/>
      <c r="I26" s="95" t="s">
        <v>120</v>
      </c>
      <c r="J26" s="96"/>
      <c r="K26" s="242"/>
      <c r="L26" s="242"/>
      <c r="M26" s="21"/>
      <c r="P26" s="22"/>
      <c r="Q26" s="103"/>
      <c r="R26" s="102"/>
      <c r="S26" s="103"/>
      <c r="T26" s="102"/>
      <c r="U26" s="103"/>
      <c r="V26" s="102"/>
      <c r="W26" s="103"/>
      <c r="X26" s="102"/>
      <c r="Y26" s="242"/>
      <c r="Z26" s="242"/>
      <c r="AA26" s="21"/>
    </row>
    <row r="27" spans="2:27" ht="15.75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9" spans="2:27" x14ac:dyDescent="0.25">
      <c r="B29" s="224" t="s">
        <v>91</v>
      </c>
      <c r="C29" s="225"/>
      <c r="E29" s="94" t="s">
        <v>92</v>
      </c>
      <c r="G29" s="235" t="s">
        <v>167</v>
      </c>
      <c r="H29" s="236"/>
      <c r="K29" s="167"/>
      <c r="L29" s="167"/>
      <c r="P29" s="224" t="s">
        <v>91</v>
      </c>
      <c r="Q29" s="225"/>
      <c r="S29" s="94" t="s">
        <v>92</v>
      </c>
      <c r="U29" s="235" t="s">
        <v>167</v>
      </c>
      <c r="V29" s="236"/>
    </row>
    <row r="32" spans="2:27" ht="15.75" thickBot="1" x14ac:dyDescent="0.3"/>
    <row r="33" spans="1:21" x14ac:dyDescent="0.25">
      <c r="E33" s="143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227" t="s">
        <v>161</v>
      </c>
      <c r="R33" s="227"/>
      <c r="S33" s="227"/>
      <c r="T33" s="227"/>
      <c r="U33" s="164"/>
    </row>
    <row r="34" spans="1:21" x14ac:dyDescent="0.25">
      <c r="E34" s="145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65" t="s">
        <v>162</v>
      </c>
      <c r="R34" s="165"/>
      <c r="S34" s="165"/>
      <c r="T34" s="166"/>
      <c r="U34" s="164"/>
    </row>
    <row r="35" spans="1:21" ht="15" customHeight="1" x14ac:dyDescent="0.25">
      <c r="E35" s="145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226" t="s">
        <v>163</v>
      </c>
      <c r="R35" s="226"/>
      <c r="S35" s="226"/>
      <c r="T35" s="166"/>
      <c r="U35" s="164"/>
    </row>
    <row r="36" spans="1:21" ht="15.75" thickBot="1" x14ac:dyDescent="0.3">
      <c r="E36" s="146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227" t="s">
        <v>164</v>
      </c>
      <c r="R36" s="227"/>
      <c r="S36" s="227"/>
      <c r="T36" s="227"/>
      <c r="U36" s="164"/>
    </row>
    <row r="37" spans="1:21" x14ac:dyDescent="0.25">
      <c r="A37" s="234" t="s">
        <v>12</v>
      </c>
      <c r="B37" s="234"/>
      <c r="C37" s="234"/>
      <c r="D37" s="90"/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227" t="s">
        <v>165</v>
      </c>
      <c r="R37" s="227"/>
      <c r="S37" s="227"/>
      <c r="T37" s="227"/>
      <c r="U37" s="164"/>
    </row>
    <row r="38" spans="1:21" x14ac:dyDescent="0.25"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227" t="s">
        <v>166</v>
      </c>
      <c r="R38" s="227"/>
      <c r="S38" s="227"/>
      <c r="T38" s="227"/>
      <c r="U38" s="164"/>
    </row>
    <row r="39" spans="1:21" x14ac:dyDescent="0.25">
      <c r="C39" s="76"/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227"/>
      <c r="R39" s="227"/>
      <c r="S39" s="227"/>
      <c r="T39" s="227"/>
      <c r="U39" s="164"/>
    </row>
    <row r="40" spans="1:21" x14ac:dyDescent="0.25"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227"/>
      <c r="R40" s="227"/>
      <c r="S40" s="227"/>
      <c r="T40" s="227"/>
      <c r="U40" s="164"/>
    </row>
    <row r="42" spans="1:21" ht="15.75" thickBot="1" x14ac:dyDescent="0.3"/>
    <row r="43" spans="1:21" ht="15.75" thickBot="1" x14ac:dyDescent="0.3">
      <c r="A43" s="91"/>
      <c r="B43" s="91"/>
      <c r="C43" s="91"/>
      <c r="D43" s="91"/>
      <c r="E43" s="16" t="s">
        <v>63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21" x14ac:dyDescent="0.25">
      <c r="E44" s="19" t="s">
        <v>63</v>
      </c>
      <c r="F44" s="135">
        <f t="shared" ref="F44:O44" si="0">F35-$B$40</f>
        <v>0</v>
      </c>
      <c r="G44" s="135">
        <f t="shared" si="0"/>
        <v>0</v>
      </c>
      <c r="H44" s="135">
        <f t="shared" si="0"/>
        <v>0</v>
      </c>
      <c r="I44" s="135">
        <f t="shared" si="0"/>
        <v>0</v>
      </c>
      <c r="J44" s="135">
        <f t="shared" si="0"/>
        <v>0</v>
      </c>
      <c r="K44" s="135">
        <f t="shared" si="0"/>
        <v>0</v>
      </c>
      <c r="L44" s="135">
        <f t="shared" si="0"/>
        <v>0</v>
      </c>
      <c r="M44" s="135">
        <f t="shared" si="0"/>
        <v>0</v>
      </c>
      <c r="N44" s="147">
        <f t="shared" si="0"/>
        <v>0</v>
      </c>
      <c r="O44" s="133">
        <f t="shared" si="0"/>
        <v>0</v>
      </c>
      <c r="P44" s="21"/>
    </row>
    <row r="45" spans="1:21" x14ac:dyDescent="0.25">
      <c r="E45" s="19" t="s">
        <v>63</v>
      </c>
      <c r="F45" s="135">
        <f t="shared" ref="F45:O45" si="1">F36-$B$40</f>
        <v>0</v>
      </c>
      <c r="G45" s="135">
        <f t="shared" si="1"/>
        <v>0</v>
      </c>
      <c r="H45" s="135">
        <f t="shared" si="1"/>
        <v>0</v>
      </c>
      <c r="I45" s="135">
        <f t="shared" si="1"/>
        <v>0</v>
      </c>
      <c r="J45" s="135">
        <f t="shared" si="1"/>
        <v>0</v>
      </c>
      <c r="K45" s="135">
        <f t="shared" si="1"/>
        <v>0</v>
      </c>
      <c r="L45" s="135">
        <f t="shared" si="1"/>
        <v>0</v>
      </c>
      <c r="M45" s="135">
        <f t="shared" si="1"/>
        <v>0</v>
      </c>
      <c r="N45" s="148">
        <f t="shared" si="1"/>
        <v>0</v>
      </c>
      <c r="O45" s="133">
        <f t="shared" si="1"/>
        <v>0</v>
      </c>
      <c r="P45" s="21"/>
    </row>
    <row r="46" spans="1:21" ht="15.75" thickBot="1" x14ac:dyDescent="0.3">
      <c r="E46" s="19" t="s">
        <v>63</v>
      </c>
      <c r="F46" s="135">
        <f t="shared" ref="F46:O46" si="2">F37-$B$40</f>
        <v>0</v>
      </c>
      <c r="G46" s="135">
        <f t="shared" si="2"/>
        <v>0</v>
      </c>
      <c r="H46" s="135">
        <f t="shared" si="2"/>
        <v>0</v>
      </c>
      <c r="I46" s="135">
        <f t="shared" si="2"/>
        <v>0</v>
      </c>
      <c r="J46" s="135">
        <f t="shared" si="2"/>
        <v>0</v>
      </c>
      <c r="K46" s="135">
        <f t="shared" si="2"/>
        <v>0</v>
      </c>
      <c r="L46" s="135">
        <f t="shared" si="2"/>
        <v>0</v>
      </c>
      <c r="M46" s="135">
        <f t="shared" si="2"/>
        <v>0</v>
      </c>
      <c r="N46" s="149">
        <f t="shared" si="2"/>
        <v>0</v>
      </c>
      <c r="O46" s="133">
        <f t="shared" si="2"/>
        <v>0</v>
      </c>
      <c r="P46" s="21"/>
    </row>
    <row r="47" spans="1:21" x14ac:dyDescent="0.25">
      <c r="A47" s="234" t="s">
        <v>12</v>
      </c>
      <c r="B47" s="234"/>
      <c r="C47" s="234"/>
      <c r="E47" s="22"/>
      <c r="F47" s="135">
        <f t="shared" ref="F47:O47" si="3">F38-$B$40</f>
        <v>0</v>
      </c>
      <c r="G47" s="135">
        <f t="shared" si="3"/>
        <v>0</v>
      </c>
      <c r="H47" s="135">
        <f t="shared" si="3"/>
        <v>0</v>
      </c>
      <c r="I47" s="135">
        <f t="shared" si="3"/>
        <v>0</v>
      </c>
      <c r="J47" s="135">
        <f t="shared" si="3"/>
        <v>0</v>
      </c>
      <c r="K47" s="135">
        <f t="shared" si="3"/>
        <v>0</v>
      </c>
      <c r="L47" s="135">
        <f t="shared" si="3"/>
        <v>0</v>
      </c>
      <c r="M47" s="135">
        <f t="shared" si="3"/>
        <v>0</v>
      </c>
      <c r="N47" s="136">
        <f t="shared" si="3"/>
        <v>0</v>
      </c>
      <c r="O47" s="135">
        <f t="shared" si="3"/>
        <v>0</v>
      </c>
      <c r="P47" s="21"/>
    </row>
    <row r="48" spans="1:21" x14ac:dyDescent="0.25">
      <c r="E48" s="22"/>
      <c r="F48" s="135">
        <f t="shared" ref="F48:O48" si="4">F39-$B$40</f>
        <v>0</v>
      </c>
      <c r="G48" s="135">
        <f t="shared" si="4"/>
        <v>0</v>
      </c>
      <c r="H48" s="135">
        <f t="shared" si="4"/>
        <v>0</v>
      </c>
      <c r="I48" s="135">
        <f t="shared" si="4"/>
        <v>0</v>
      </c>
      <c r="J48" s="135">
        <f t="shared" si="4"/>
        <v>0</v>
      </c>
      <c r="K48" s="135">
        <f t="shared" si="4"/>
        <v>0</v>
      </c>
      <c r="L48" s="135">
        <f t="shared" si="4"/>
        <v>0</v>
      </c>
      <c r="M48" s="135">
        <f t="shared" si="4"/>
        <v>0</v>
      </c>
      <c r="N48" s="136">
        <f t="shared" si="4"/>
        <v>0</v>
      </c>
      <c r="O48" s="135">
        <f t="shared" si="4"/>
        <v>0</v>
      </c>
      <c r="P48" s="21"/>
    </row>
    <row r="49" spans="5:24" x14ac:dyDescent="0.25">
      <c r="E49" s="22"/>
      <c r="F49" s="135">
        <f t="shared" ref="F49:O49" si="5">F40-$B$40</f>
        <v>0</v>
      </c>
      <c r="G49" s="135">
        <f t="shared" si="5"/>
        <v>0</v>
      </c>
      <c r="H49" s="135">
        <f t="shared" si="5"/>
        <v>0</v>
      </c>
      <c r="I49" s="135">
        <f t="shared" si="5"/>
        <v>0</v>
      </c>
      <c r="J49" s="135">
        <f t="shared" si="5"/>
        <v>0</v>
      </c>
      <c r="K49" s="135">
        <f t="shared" si="5"/>
        <v>0</v>
      </c>
      <c r="L49" s="135">
        <f t="shared" si="5"/>
        <v>0</v>
      </c>
      <c r="M49" s="135">
        <f t="shared" si="5"/>
        <v>0</v>
      </c>
      <c r="N49" s="136">
        <f t="shared" si="5"/>
        <v>0</v>
      </c>
      <c r="O49" s="135">
        <f t="shared" si="5"/>
        <v>0</v>
      </c>
      <c r="P49" s="21"/>
      <c r="X49" s="92"/>
    </row>
    <row r="50" spans="5:24" ht="15.75" thickBot="1" x14ac:dyDescent="0.3"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7" spans="5:24" ht="15.75" thickBot="1" x14ac:dyDescent="0.3"/>
    <row r="58" spans="5:24" ht="15.75" thickBot="1" x14ac:dyDescent="0.3">
      <c r="G58" s="228" t="s">
        <v>88</v>
      </c>
      <c r="H58" s="229"/>
      <c r="I58" s="229"/>
      <c r="J58" s="229"/>
      <c r="K58" s="229"/>
      <c r="L58" s="229"/>
      <c r="M58" s="230"/>
    </row>
    <row r="59" spans="5:24" ht="15.75" thickBot="1" x14ac:dyDescent="0.3"/>
    <row r="60" spans="5:24" ht="15.75" thickBot="1" x14ac:dyDescent="0.3">
      <c r="E60" s="16" t="s">
        <v>63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5:24" x14ac:dyDescent="0.25">
      <c r="E61" s="19" t="s">
        <v>63</v>
      </c>
      <c r="F61" s="135">
        <f t="shared" ref="F61:O61" si="6">F43-$B$40</f>
        <v>0</v>
      </c>
      <c r="G61" s="135">
        <f t="shared" si="6"/>
        <v>0</v>
      </c>
      <c r="H61" s="135">
        <f t="shared" si="6"/>
        <v>0</v>
      </c>
      <c r="I61" s="135">
        <f t="shared" si="6"/>
        <v>0</v>
      </c>
      <c r="J61" s="135">
        <f t="shared" si="6"/>
        <v>0</v>
      </c>
      <c r="K61" s="135">
        <f t="shared" si="6"/>
        <v>0</v>
      </c>
      <c r="L61" s="135">
        <f t="shared" si="6"/>
        <v>0</v>
      </c>
      <c r="M61" s="135">
        <f t="shared" si="6"/>
        <v>0</v>
      </c>
      <c r="N61" s="150">
        <f t="shared" si="6"/>
        <v>0</v>
      </c>
      <c r="O61" s="133">
        <f t="shared" si="6"/>
        <v>0</v>
      </c>
      <c r="P61" s="21"/>
    </row>
    <row r="62" spans="5:24" x14ac:dyDescent="0.25">
      <c r="E62" s="19" t="s">
        <v>63</v>
      </c>
      <c r="F62" s="135">
        <f t="shared" ref="F62:O62" si="7">F44-$B$40</f>
        <v>0</v>
      </c>
      <c r="G62" s="135">
        <f t="shared" si="7"/>
        <v>0</v>
      </c>
      <c r="H62" s="135">
        <f t="shared" si="7"/>
        <v>0</v>
      </c>
      <c r="I62" s="135">
        <f t="shared" si="7"/>
        <v>0</v>
      </c>
      <c r="J62" s="135">
        <f t="shared" si="7"/>
        <v>0</v>
      </c>
      <c r="K62" s="135">
        <f t="shared" si="7"/>
        <v>0</v>
      </c>
      <c r="L62" s="135">
        <f t="shared" si="7"/>
        <v>0</v>
      </c>
      <c r="M62" s="135">
        <f t="shared" si="7"/>
        <v>0</v>
      </c>
      <c r="N62" s="151">
        <f t="shared" si="7"/>
        <v>0</v>
      </c>
      <c r="O62" s="133">
        <f t="shared" si="7"/>
        <v>0</v>
      </c>
      <c r="P62" s="21"/>
    </row>
    <row r="63" spans="5:24" ht="15.75" thickBot="1" x14ac:dyDescent="0.3">
      <c r="E63" s="19" t="s">
        <v>63</v>
      </c>
      <c r="F63" s="135">
        <f t="shared" ref="F63:O63" si="8">F45-$B$40</f>
        <v>0</v>
      </c>
      <c r="G63" s="135">
        <f t="shared" si="8"/>
        <v>0</v>
      </c>
      <c r="H63" s="135">
        <f t="shared" si="8"/>
        <v>0</v>
      </c>
      <c r="I63" s="135">
        <f t="shared" si="8"/>
        <v>0</v>
      </c>
      <c r="J63" s="135">
        <f t="shared" si="8"/>
        <v>0</v>
      </c>
      <c r="K63" s="135">
        <f t="shared" si="8"/>
        <v>0</v>
      </c>
      <c r="L63" s="135">
        <f t="shared" si="8"/>
        <v>0</v>
      </c>
      <c r="M63" s="135">
        <f t="shared" si="8"/>
        <v>0</v>
      </c>
      <c r="N63" s="151">
        <f t="shared" si="8"/>
        <v>0</v>
      </c>
      <c r="O63" s="133">
        <f t="shared" si="8"/>
        <v>0</v>
      </c>
      <c r="P63" s="21"/>
    </row>
    <row r="64" spans="5:24" x14ac:dyDescent="0.25">
      <c r="E64" s="22"/>
      <c r="F64" s="135">
        <f t="shared" ref="F64:O64" si="9">F46-$B$40</f>
        <v>0</v>
      </c>
      <c r="G64" s="135">
        <f t="shared" si="9"/>
        <v>0</v>
      </c>
      <c r="H64" s="135">
        <f t="shared" si="9"/>
        <v>0</v>
      </c>
      <c r="I64" s="135">
        <f t="shared" si="9"/>
        <v>0</v>
      </c>
      <c r="J64" s="135">
        <f t="shared" si="9"/>
        <v>0</v>
      </c>
      <c r="K64" s="135">
        <f t="shared" si="9"/>
        <v>0</v>
      </c>
      <c r="L64" s="135">
        <f t="shared" si="9"/>
        <v>0</v>
      </c>
      <c r="M64" s="135">
        <f t="shared" si="9"/>
        <v>0</v>
      </c>
      <c r="N64" s="152">
        <f t="shared" si="9"/>
        <v>0</v>
      </c>
      <c r="O64" s="135">
        <f t="shared" si="9"/>
        <v>0</v>
      </c>
      <c r="P64" s="21"/>
    </row>
    <row r="65" spans="5:16" x14ac:dyDescent="0.25">
      <c r="E65" s="22"/>
      <c r="F65" s="135">
        <f t="shared" ref="F65:O65" si="10">F47-$B$40</f>
        <v>0</v>
      </c>
      <c r="G65" s="135">
        <f t="shared" si="10"/>
        <v>0</v>
      </c>
      <c r="H65" s="135">
        <f t="shared" si="10"/>
        <v>0</v>
      </c>
      <c r="I65" s="135">
        <f t="shared" si="10"/>
        <v>0</v>
      </c>
      <c r="J65" s="135">
        <f t="shared" si="10"/>
        <v>0</v>
      </c>
      <c r="K65" s="135">
        <f t="shared" si="10"/>
        <v>0</v>
      </c>
      <c r="L65" s="135">
        <f t="shared" si="10"/>
        <v>0</v>
      </c>
      <c r="M65" s="135">
        <f t="shared" si="10"/>
        <v>0</v>
      </c>
      <c r="N65" s="153">
        <f t="shared" si="10"/>
        <v>0</v>
      </c>
      <c r="O65" s="135">
        <f t="shared" si="10"/>
        <v>0</v>
      </c>
      <c r="P65" s="21"/>
    </row>
    <row r="66" spans="5:16" ht="15.75" thickBot="1" x14ac:dyDescent="0.3">
      <c r="E66" s="22"/>
      <c r="F66" s="135">
        <f t="shared" ref="F66:O66" si="11">F48-$B$40</f>
        <v>0</v>
      </c>
      <c r="G66" s="135">
        <f t="shared" si="11"/>
        <v>0</v>
      </c>
      <c r="H66" s="135">
        <f t="shared" si="11"/>
        <v>0</v>
      </c>
      <c r="I66" s="135">
        <f t="shared" si="11"/>
        <v>0</v>
      </c>
      <c r="J66" s="135">
        <f t="shared" si="11"/>
        <v>0</v>
      </c>
      <c r="K66" s="135">
        <f t="shared" si="11"/>
        <v>0</v>
      </c>
      <c r="L66" s="135">
        <f t="shared" si="11"/>
        <v>0</v>
      </c>
      <c r="M66" s="135">
        <f t="shared" si="11"/>
        <v>0</v>
      </c>
      <c r="N66" s="154">
        <f t="shared" si="11"/>
        <v>0</v>
      </c>
      <c r="O66" s="135">
        <f t="shared" si="11"/>
        <v>0</v>
      </c>
      <c r="P66" s="21"/>
    </row>
    <row r="67" spans="5:16" ht="15.75" thickBot="1" x14ac:dyDescent="0.3"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</row>
    <row r="82" spans="5:16" ht="15.75" thickBot="1" x14ac:dyDescent="0.3"/>
    <row r="83" spans="5:16" ht="15.75" thickBot="1" x14ac:dyDescent="0.3">
      <c r="G83" s="228" t="s">
        <v>88</v>
      </c>
      <c r="H83" s="229"/>
      <c r="I83" s="229"/>
      <c r="J83" s="229"/>
      <c r="K83" s="229"/>
      <c r="L83" s="229"/>
      <c r="M83" s="230"/>
    </row>
    <row r="84" spans="5:16" ht="15.75" thickBot="1" x14ac:dyDescent="0.3"/>
    <row r="85" spans="5:16" ht="15.75" thickBot="1" x14ac:dyDescent="0.3">
      <c r="E85" s="16" t="s">
        <v>63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5:16" x14ac:dyDescent="0.25">
      <c r="E86" s="19" t="s">
        <v>63</v>
      </c>
      <c r="F86" s="135">
        <f t="shared" ref="F86:O86" si="12">F68-$B$40</f>
        <v>0</v>
      </c>
      <c r="G86" s="135">
        <f t="shared" si="12"/>
        <v>0</v>
      </c>
      <c r="H86" s="135">
        <f t="shared" si="12"/>
        <v>0</v>
      </c>
      <c r="I86" s="135">
        <f t="shared" si="12"/>
        <v>0</v>
      </c>
      <c r="J86" s="135">
        <f t="shared" si="12"/>
        <v>0</v>
      </c>
      <c r="K86" s="135">
        <f t="shared" si="12"/>
        <v>0</v>
      </c>
      <c r="L86" s="135">
        <f t="shared" si="12"/>
        <v>0</v>
      </c>
      <c r="M86" s="135">
        <f t="shared" si="12"/>
        <v>0</v>
      </c>
      <c r="N86" s="155">
        <f t="shared" si="12"/>
        <v>0</v>
      </c>
      <c r="O86" s="156">
        <f t="shared" si="12"/>
        <v>0</v>
      </c>
      <c r="P86" s="21"/>
    </row>
    <row r="87" spans="5:16" x14ac:dyDescent="0.25">
      <c r="E87" s="19" t="s">
        <v>63</v>
      </c>
      <c r="F87" s="135">
        <f t="shared" ref="F87:O87" si="13">F69-$B$40</f>
        <v>0</v>
      </c>
      <c r="G87" s="135">
        <f t="shared" si="13"/>
        <v>0</v>
      </c>
      <c r="H87" s="135">
        <f t="shared" si="13"/>
        <v>0</v>
      </c>
      <c r="I87" s="135">
        <f t="shared" si="13"/>
        <v>0</v>
      </c>
      <c r="J87" s="135">
        <f t="shared" si="13"/>
        <v>0</v>
      </c>
      <c r="K87" s="135">
        <f t="shared" si="13"/>
        <v>0</v>
      </c>
      <c r="L87" s="135">
        <f t="shared" si="13"/>
        <v>0</v>
      </c>
      <c r="M87" s="135">
        <f t="shared" si="13"/>
        <v>0</v>
      </c>
      <c r="N87" s="157">
        <f t="shared" si="13"/>
        <v>0</v>
      </c>
      <c r="O87" s="158">
        <f t="shared" si="13"/>
        <v>0</v>
      </c>
      <c r="P87" s="21"/>
    </row>
    <row r="88" spans="5:16" ht="15.75" thickBot="1" x14ac:dyDescent="0.3">
      <c r="E88" s="19" t="s">
        <v>63</v>
      </c>
      <c r="F88" s="135">
        <f t="shared" ref="F88:O88" si="14">F70-$B$40</f>
        <v>0</v>
      </c>
      <c r="G88" s="135">
        <f t="shared" si="14"/>
        <v>0</v>
      </c>
      <c r="H88" s="135">
        <f t="shared" si="14"/>
        <v>0</v>
      </c>
      <c r="I88" s="135">
        <f t="shared" si="14"/>
        <v>0</v>
      </c>
      <c r="J88" s="135">
        <f t="shared" si="14"/>
        <v>0</v>
      </c>
      <c r="K88" s="135">
        <f t="shared" si="14"/>
        <v>0</v>
      </c>
      <c r="L88" s="135">
        <f t="shared" si="14"/>
        <v>0</v>
      </c>
      <c r="M88" s="135">
        <f t="shared" si="14"/>
        <v>0</v>
      </c>
      <c r="N88" s="157">
        <f t="shared" si="14"/>
        <v>0</v>
      </c>
      <c r="O88" s="159">
        <f t="shared" si="14"/>
        <v>0</v>
      </c>
      <c r="P88" s="21"/>
    </row>
    <row r="89" spans="5:16" x14ac:dyDescent="0.25">
      <c r="E89" s="22"/>
      <c r="F89" s="135">
        <f t="shared" ref="F89:O89" si="15">F71-$B$40</f>
        <v>0</v>
      </c>
      <c r="G89" s="135">
        <f t="shared" si="15"/>
        <v>0</v>
      </c>
      <c r="H89" s="135">
        <f t="shared" si="15"/>
        <v>0</v>
      </c>
      <c r="I89" s="135">
        <f t="shared" si="15"/>
        <v>0</v>
      </c>
      <c r="J89" s="135">
        <f t="shared" si="15"/>
        <v>0</v>
      </c>
      <c r="K89" s="135">
        <f t="shared" si="15"/>
        <v>0</v>
      </c>
      <c r="L89" s="135">
        <f t="shared" si="15"/>
        <v>0</v>
      </c>
      <c r="M89" s="135">
        <f t="shared" si="15"/>
        <v>0</v>
      </c>
      <c r="N89" s="152">
        <f t="shared" si="15"/>
        <v>0</v>
      </c>
      <c r="O89" s="135">
        <f t="shared" si="15"/>
        <v>0</v>
      </c>
      <c r="P89" s="21"/>
    </row>
    <row r="90" spans="5:16" x14ac:dyDescent="0.25">
      <c r="E90" s="22"/>
      <c r="F90" s="135">
        <f t="shared" ref="F90:O90" si="16">F72-$B$40</f>
        <v>0</v>
      </c>
      <c r="G90" s="135">
        <f t="shared" si="16"/>
        <v>0</v>
      </c>
      <c r="H90" s="135">
        <f t="shared" si="16"/>
        <v>0</v>
      </c>
      <c r="I90" s="135">
        <f t="shared" si="16"/>
        <v>0</v>
      </c>
      <c r="J90" s="135">
        <f t="shared" si="16"/>
        <v>0</v>
      </c>
      <c r="K90" s="135">
        <f t="shared" si="16"/>
        <v>0</v>
      </c>
      <c r="L90" s="135">
        <f t="shared" si="16"/>
        <v>0</v>
      </c>
      <c r="M90" s="135">
        <f t="shared" si="16"/>
        <v>0</v>
      </c>
      <c r="N90" s="153">
        <f t="shared" si="16"/>
        <v>0</v>
      </c>
      <c r="O90" s="135">
        <f t="shared" si="16"/>
        <v>0</v>
      </c>
      <c r="P90" s="21"/>
    </row>
    <row r="91" spans="5:16" ht="15.75" thickBot="1" x14ac:dyDescent="0.3">
      <c r="E91" s="22"/>
      <c r="F91" s="135">
        <f t="shared" ref="F91:O91" si="17">F73-$B$40</f>
        <v>0</v>
      </c>
      <c r="G91" s="135">
        <f t="shared" si="17"/>
        <v>0</v>
      </c>
      <c r="H91" s="135">
        <f t="shared" si="17"/>
        <v>0</v>
      </c>
      <c r="I91" s="135">
        <f t="shared" si="17"/>
        <v>0</v>
      </c>
      <c r="J91" s="135">
        <f t="shared" si="17"/>
        <v>0</v>
      </c>
      <c r="K91" s="135">
        <f t="shared" si="17"/>
        <v>0</v>
      </c>
      <c r="L91" s="135">
        <f t="shared" si="17"/>
        <v>0</v>
      </c>
      <c r="M91" s="135">
        <f t="shared" si="17"/>
        <v>0</v>
      </c>
      <c r="N91" s="154">
        <f t="shared" si="17"/>
        <v>0</v>
      </c>
      <c r="O91" s="135">
        <f t="shared" si="17"/>
        <v>0</v>
      </c>
      <c r="P91" s="21"/>
    </row>
    <row r="92" spans="5:16" ht="15.75" thickBot="1" x14ac:dyDescent="0.3"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</row>
    <row r="101" spans="5:30" ht="15.75" thickBot="1" x14ac:dyDescent="0.3"/>
    <row r="102" spans="5:30" ht="15.75" thickBot="1" x14ac:dyDescent="0.3">
      <c r="F102" s="231" t="s">
        <v>89</v>
      </c>
      <c r="G102" s="232"/>
      <c r="H102" s="232"/>
      <c r="I102" s="232"/>
      <c r="J102" s="232"/>
      <c r="K102" s="232"/>
      <c r="L102" s="232"/>
      <c r="M102" s="233"/>
      <c r="T102" s="231" t="s">
        <v>90</v>
      </c>
      <c r="U102" s="232"/>
      <c r="V102" s="232"/>
      <c r="W102" s="232"/>
      <c r="X102" s="232"/>
      <c r="Y102" s="232"/>
      <c r="Z102" s="232"/>
      <c r="AA102" s="233"/>
    </row>
    <row r="106" spans="5:30" ht="15.75" thickBot="1" x14ac:dyDescent="0.3"/>
    <row r="107" spans="5:30" ht="15.75" thickBot="1" x14ac:dyDescent="0.3">
      <c r="E107" s="16" t="s">
        <v>63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  <c r="S107" s="16" t="s">
        <v>63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</row>
    <row r="108" spans="5:30" ht="15.75" thickBot="1" x14ac:dyDescent="0.3">
      <c r="E108" s="19" t="s">
        <v>63</v>
      </c>
      <c r="F108" s="160">
        <f t="shared" ref="F108:O108" si="18">F87-$B$40</f>
        <v>0</v>
      </c>
      <c r="G108" s="161">
        <f t="shared" si="18"/>
        <v>0</v>
      </c>
      <c r="H108" s="135">
        <f t="shared" si="18"/>
        <v>0</v>
      </c>
      <c r="I108" s="135">
        <f t="shared" si="18"/>
        <v>0</v>
      </c>
      <c r="J108" s="135">
        <f t="shared" si="18"/>
        <v>0</v>
      </c>
      <c r="K108" s="135">
        <f t="shared" si="18"/>
        <v>0</v>
      </c>
      <c r="L108" s="135">
        <f t="shared" si="18"/>
        <v>0</v>
      </c>
      <c r="M108" s="135">
        <f t="shared" si="18"/>
        <v>0</v>
      </c>
      <c r="N108" s="155">
        <f t="shared" si="18"/>
        <v>0</v>
      </c>
      <c r="O108" s="156">
        <f t="shared" si="18"/>
        <v>0</v>
      </c>
      <c r="P108" s="21"/>
      <c r="S108" s="19" t="s">
        <v>63</v>
      </c>
      <c r="T108" s="162">
        <f t="shared" ref="T108:AC108" si="19">W90-$B$40</f>
        <v>0</v>
      </c>
      <c r="U108" s="163">
        <f t="shared" si="19"/>
        <v>0</v>
      </c>
      <c r="V108" s="135">
        <f t="shared" si="19"/>
        <v>0</v>
      </c>
      <c r="W108" s="135">
        <f t="shared" si="19"/>
        <v>0</v>
      </c>
      <c r="X108" s="135">
        <f t="shared" si="19"/>
        <v>0</v>
      </c>
      <c r="Y108" s="135">
        <f t="shared" si="19"/>
        <v>0</v>
      </c>
      <c r="Z108" s="135">
        <f t="shared" si="19"/>
        <v>0</v>
      </c>
      <c r="AA108" s="135">
        <f t="shared" si="19"/>
        <v>0</v>
      </c>
      <c r="AB108" s="155">
        <f t="shared" si="19"/>
        <v>0</v>
      </c>
      <c r="AC108" s="156">
        <f t="shared" si="19"/>
        <v>0</v>
      </c>
      <c r="AD108" s="21"/>
    </row>
    <row r="109" spans="5:30" ht="15.75" thickBot="1" x14ac:dyDescent="0.3">
      <c r="E109" s="19" t="s">
        <v>63</v>
      </c>
      <c r="F109" s="135">
        <f t="shared" ref="F109:O109" si="20">F88-$B$40</f>
        <v>0</v>
      </c>
      <c r="G109" s="135">
        <f t="shared" si="20"/>
        <v>0</v>
      </c>
      <c r="H109" s="135">
        <f t="shared" si="20"/>
        <v>0</v>
      </c>
      <c r="I109" s="135">
        <f t="shared" si="20"/>
        <v>0</v>
      </c>
      <c r="J109" s="135">
        <f t="shared" si="20"/>
        <v>0</v>
      </c>
      <c r="K109" s="135">
        <f t="shared" si="20"/>
        <v>0</v>
      </c>
      <c r="L109" s="135">
        <f t="shared" si="20"/>
        <v>0</v>
      </c>
      <c r="M109" s="135">
        <f t="shared" si="20"/>
        <v>0</v>
      </c>
      <c r="N109" s="157">
        <f t="shared" si="20"/>
        <v>0</v>
      </c>
      <c r="O109" s="158">
        <f t="shared" si="20"/>
        <v>0</v>
      </c>
      <c r="P109" s="21"/>
      <c r="S109" s="19" t="s">
        <v>63</v>
      </c>
      <c r="T109" s="162">
        <f t="shared" ref="T109:T110" si="21">W91-$B$40</f>
        <v>0</v>
      </c>
      <c r="U109" s="163">
        <f t="shared" ref="U109:U110" si="22">X91-$B$40</f>
        <v>0</v>
      </c>
      <c r="V109" s="135">
        <f t="shared" ref="V109:AC113" si="23">Y91-$B$40</f>
        <v>0</v>
      </c>
      <c r="W109" s="135">
        <f t="shared" si="23"/>
        <v>0</v>
      </c>
      <c r="X109" s="135">
        <f t="shared" si="23"/>
        <v>0</v>
      </c>
      <c r="Y109" s="135">
        <f t="shared" si="23"/>
        <v>0</v>
      </c>
      <c r="Z109" s="135">
        <f t="shared" si="23"/>
        <v>0</v>
      </c>
      <c r="AA109" s="135">
        <f t="shared" si="23"/>
        <v>0</v>
      </c>
      <c r="AB109" s="157">
        <f t="shared" si="23"/>
        <v>0</v>
      </c>
      <c r="AC109" s="158">
        <f t="shared" si="23"/>
        <v>0</v>
      </c>
      <c r="AD109" s="21"/>
    </row>
    <row r="110" spans="5:30" ht="15.75" thickBot="1" x14ac:dyDescent="0.3">
      <c r="E110" s="19" t="s">
        <v>63</v>
      </c>
      <c r="F110" s="135">
        <f t="shared" ref="F110:O110" si="24">F89-$B$40</f>
        <v>0</v>
      </c>
      <c r="G110" s="135">
        <f t="shared" si="24"/>
        <v>0</v>
      </c>
      <c r="H110" s="135">
        <f t="shared" si="24"/>
        <v>0</v>
      </c>
      <c r="I110" s="135">
        <f t="shared" si="24"/>
        <v>0</v>
      </c>
      <c r="J110" s="135">
        <f t="shared" si="24"/>
        <v>0</v>
      </c>
      <c r="K110" s="135">
        <f t="shared" si="24"/>
        <v>0</v>
      </c>
      <c r="L110" s="135">
        <f t="shared" si="24"/>
        <v>0</v>
      </c>
      <c r="M110" s="135">
        <f t="shared" si="24"/>
        <v>0</v>
      </c>
      <c r="N110" s="157">
        <f t="shared" si="24"/>
        <v>0</v>
      </c>
      <c r="O110" s="159">
        <f t="shared" si="24"/>
        <v>0</v>
      </c>
      <c r="P110" s="21"/>
      <c r="S110" s="19" t="s">
        <v>63</v>
      </c>
      <c r="T110" s="162">
        <f t="shared" si="21"/>
        <v>0</v>
      </c>
      <c r="U110" s="163">
        <f t="shared" si="22"/>
        <v>0</v>
      </c>
      <c r="V110" s="135">
        <f t="shared" si="23"/>
        <v>0</v>
      </c>
      <c r="W110" s="135">
        <f t="shared" si="23"/>
        <v>0</v>
      </c>
      <c r="X110" s="135">
        <f t="shared" si="23"/>
        <v>0</v>
      </c>
      <c r="Y110" s="135">
        <f t="shared" si="23"/>
        <v>0</v>
      </c>
      <c r="Z110" s="135">
        <f t="shared" si="23"/>
        <v>0</v>
      </c>
      <c r="AA110" s="135">
        <f t="shared" si="23"/>
        <v>0</v>
      </c>
      <c r="AB110" s="157">
        <f t="shared" si="23"/>
        <v>0</v>
      </c>
      <c r="AC110" s="159">
        <f t="shared" si="23"/>
        <v>0</v>
      </c>
      <c r="AD110" s="21"/>
    </row>
    <row r="111" spans="5:30" x14ac:dyDescent="0.25">
      <c r="E111" s="22"/>
      <c r="F111" s="135">
        <f t="shared" ref="F111:O111" si="25">F90-$B$40</f>
        <v>0</v>
      </c>
      <c r="G111" s="135">
        <f t="shared" si="25"/>
        <v>0</v>
      </c>
      <c r="H111" s="135">
        <f t="shared" si="25"/>
        <v>0</v>
      </c>
      <c r="I111" s="135">
        <f t="shared" si="25"/>
        <v>0</v>
      </c>
      <c r="J111" s="135">
        <f t="shared" si="25"/>
        <v>0</v>
      </c>
      <c r="K111" s="135">
        <f t="shared" si="25"/>
        <v>0</v>
      </c>
      <c r="L111" s="135">
        <f t="shared" si="25"/>
        <v>0</v>
      </c>
      <c r="M111" s="135">
        <f t="shared" si="25"/>
        <v>0</v>
      </c>
      <c r="N111" s="152">
        <f t="shared" si="25"/>
        <v>0</v>
      </c>
      <c r="O111" s="135">
        <f t="shared" si="25"/>
        <v>0</v>
      </c>
      <c r="P111" s="21"/>
      <c r="S111" s="22"/>
      <c r="T111" s="135">
        <f t="shared" ref="T111:U113" si="26">W93-$B$40</f>
        <v>0</v>
      </c>
      <c r="U111" s="135">
        <f t="shared" si="26"/>
        <v>0</v>
      </c>
      <c r="V111" s="135">
        <f t="shared" si="23"/>
        <v>0</v>
      </c>
      <c r="W111" s="135">
        <f t="shared" si="23"/>
        <v>0</v>
      </c>
      <c r="X111" s="135">
        <f t="shared" si="23"/>
        <v>0</v>
      </c>
      <c r="Y111" s="135">
        <f t="shared" si="23"/>
        <v>0</v>
      </c>
      <c r="Z111" s="135">
        <f t="shared" si="23"/>
        <v>0</v>
      </c>
      <c r="AA111" s="135">
        <f t="shared" si="23"/>
        <v>0</v>
      </c>
      <c r="AB111" s="152">
        <f t="shared" si="23"/>
        <v>0</v>
      </c>
      <c r="AC111" s="135">
        <f t="shared" si="23"/>
        <v>0</v>
      </c>
      <c r="AD111" s="21"/>
    </row>
    <row r="112" spans="5:30" x14ac:dyDescent="0.25">
      <c r="E112" s="22"/>
      <c r="F112" s="135">
        <f t="shared" ref="F112:O112" si="27">F91-$B$40</f>
        <v>0</v>
      </c>
      <c r="G112" s="135">
        <f t="shared" si="27"/>
        <v>0</v>
      </c>
      <c r="H112" s="135">
        <f t="shared" si="27"/>
        <v>0</v>
      </c>
      <c r="I112" s="135">
        <f t="shared" si="27"/>
        <v>0</v>
      </c>
      <c r="J112" s="135">
        <f t="shared" si="27"/>
        <v>0</v>
      </c>
      <c r="K112" s="135">
        <f t="shared" si="27"/>
        <v>0</v>
      </c>
      <c r="L112" s="135">
        <f t="shared" si="27"/>
        <v>0</v>
      </c>
      <c r="M112" s="135">
        <f t="shared" si="27"/>
        <v>0</v>
      </c>
      <c r="N112" s="153">
        <f t="shared" si="27"/>
        <v>0</v>
      </c>
      <c r="O112" s="135">
        <f t="shared" si="27"/>
        <v>0</v>
      </c>
      <c r="P112" s="21"/>
      <c r="S112" s="22"/>
      <c r="T112" s="135">
        <f t="shared" si="26"/>
        <v>0</v>
      </c>
      <c r="U112" s="135">
        <f t="shared" si="26"/>
        <v>0</v>
      </c>
      <c r="V112" s="135">
        <f t="shared" si="23"/>
        <v>0</v>
      </c>
      <c r="W112" s="135">
        <f t="shared" si="23"/>
        <v>0</v>
      </c>
      <c r="X112" s="135">
        <f t="shared" si="23"/>
        <v>0</v>
      </c>
      <c r="Y112" s="135">
        <f t="shared" si="23"/>
        <v>0</v>
      </c>
      <c r="Z112" s="135">
        <f t="shared" si="23"/>
        <v>0</v>
      </c>
      <c r="AA112" s="135">
        <f t="shared" si="23"/>
        <v>0</v>
      </c>
      <c r="AB112" s="153">
        <f t="shared" si="23"/>
        <v>0</v>
      </c>
      <c r="AC112" s="135">
        <f t="shared" si="23"/>
        <v>0</v>
      </c>
      <c r="AD112" s="21"/>
    </row>
    <row r="113" spans="5:30" ht="15.75" thickBot="1" x14ac:dyDescent="0.3">
      <c r="E113" s="22"/>
      <c r="F113" s="135">
        <f t="shared" ref="F113:O113" si="28">F92-$B$40</f>
        <v>0</v>
      </c>
      <c r="G113" s="135">
        <f t="shared" si="28"/>
        <v>0</v>
      </c>
      <c r="H113" s="135">
        <f t="shared" si="28"/>
        <v>0</v>
      </c>
      <c r="I113" s="135">
        <f t="shared" si="28"/>
        <v>0</v>
      </c>
      <c r="J113" s="135">
        <f t="shared" si="28"/>
        <v>0</v>
      </c>
      <c r="K113" s="135">
        <f t="shared" si="28"/>
        <v>0</v>
      </c>
      <c r="L113" s="135">
        <f t="shared" si="28"/>
        <v>0</v>
      </c>
      <c r="M113" s="135">
        <f t="shared" si="28"/>
        <v>0</v>
      </c>
      <c r="N113" s="154">
        <f t="shared" si="28"/>
        <v>0</v>
      </c>
      <c r="O113" s="135">
        <f t="shared" si="28"/>
        <v>0</v>
      </c>
      <c r="P113" s="21"/>
      <c r="S113" s="22"/>
      <c r="T113" s="135">
        <f t="shared" si="26"/>
        <v>0</v>
      </c>
      <c r="U113" s="135">
        <f t="shared" si="26"/>
        <v>0</v>
      </c>
      <c r="V113" s="135">
        <f t="shared" si="23"/>
        <v>0</v>
      </c>
      <c r="W113" s="135">
        <f t="shared" si="23"/>
        <v>0</v>
      </c>
      <c r="X113" s="135">
        <f t="shared" si="23"/>
        <v>0</v>
      </c>
      <c r="Y113" s="135">
        <f t="shared" si="23"/>
        <v>0</v>
      </c>
      <c r="Z113" s="135">
        <f t="shared" si="23"/>
        <v>0</v>
      </c>
      <c r="AA113" s="135">
        <f t="shared" si="23"/>
        <v>0</v>
      </c>
      <c r="AB113" s="154">
        <f t="shared" si="23"/>
        <v>0</v>
      </c>
      <c r="AC113" s="135">
        <f t="shared" si="23"/>
        <v>0</v>
      </c>
      <c r="AD113" s="21"/>
    </row>
    <row r="114" spans="5:30" ht="15.75" thickBot="1" x14ac:dyDescent="0.3"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/>
      <c r="S114" s="23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5"/>
    </row>
    <row r="117" spans="5:30" ht="15.75" thickBot="1" x14ac:dyDescent="0.3"/>
    <row r="118" spans="5:30" x14ac:dyDescent="0.25">
      <c r="K118" s="106"/>
      <c r="L118" s="107"/>
      <c r="M118" s="107"/>
      <c r="N118" s="107"/>
      <c r="O118" s="107"/>
      <c r="P118" s="107"/>
      <c r="Q118" s="107"/>
      <c r="R118" s="107"/>
      <c r="S118" s="107"/>
      <c r="T118" s="107"/>
      <c r="U118" s="108"/>
    </row>
    <row r="119" spans="5:30" ht="15.75" x14ac:dyDescent="0.25">
      <c r="K119" s="109"/>
      <c r="L119" s="110" t="s">
        <v>168</v>
      </c>
      <c r="M119" s="210"/>
      <c r="N119" s="210"/>
      <c r="O119" s="210"/>
      <c r="P119" s="210"/>
      <c r="Q119" s="210"/>
      <c r="R119" s="111"/>
      <c r="S119" s="111"/>
      <c r="T119" s="111"/>
      <c r="U119" s="112"/>
    </row>
    <row r="120" spans="5:30" ht="15.75" x14ac:dyDescent="0.25">
      <c r="K120" s="113"/>
      <c r="L120" s="114" t="s">
        <v>169</v>
      </c>
      <c r="M120" s="111"/>
      <c r="N120" s="111"/>
      <c r="O120" s="111"/>
      <c r="P120" s="111"/>
      <c r="Q120" s="111"/>
      <c r="R120" s="111"/>
      <c r="S120" s="111"/>
      <c r="T120" s="111"/>
      <c r="U120" s="112"/>
    </row>
    <row r="121" spans="5:30" ht="15.75" x14ac:dyDescent="0.25">
      <c r="K121" s="113"/>
      <c r="L121" s="114" t="s">
        <v>125</v>
      </c>
      <c r="M121" s="111"/>
      <c r="N121" s="111"/>
      <c r="O121" s="111"/>
      <c r="P121" s="111"/>
      <c r="Q121" s="111"/>
      <c r="R121" s="111"/>
      <c r="S121" s="111"/>
      <c r="T121" s="111"/>
      <c r="U121" s="112"/>
    </row>
    <row r="122" spans="5:30" ht="17.25" x14ac:dyDescent="0.25">
      <c r="K122" s="115"/>
      <c r="L122" s="116" t="s">
        <v>126</v>
      </c>
      <c r="M122" s="111"/>
      <c r="N122" s="111"/>
      <c r="O122" s="111"/>
      <c r="P122" s="111"/>
      <c r="Q122" s="111"/>
      <c r="R122" s="111"/>
      <c r="S122" s="111"/>
      <c r="T122" s="111"/>
      <c r="U122" s="112"/>
    </row>
    <row r="123" spans="5:30" ht="15.75" x14ac:dyDescent="0.25">
      <c r="K123" s="117"/>
      <c r="L123" s="114" t="s">
        <v>170</v>
      </c>
      <c r="M123" s="111"/>
      <c r="N123" s="111"/>
      <c r="O123" s="111"/>
      <c r="P123" s="111"/>
      <c r="Q123" s="111"/>
      <c r="R123" s="111"/>
      <c r="S123" s="111"/>
      <c r="T123" s="111"/>
      <c r="U123" s="112"/>
    </row>
    <row r="124" spans="5:30" ht="15.75" x14ac:dyDescent="0.25">
      <c r="K124" s="117"/>
      <c r="L124" s="114"/>
      <c r="M124" s="111"/>
      <c r="N124" s="111"/>
      <c r="O124" s="111"/>
      <c r="P124" s="111"/>
      <c r="Q124" s="111"/>
      <c r="R124" s="111"/>
      <c r="S124" s="111"/>
      <c r="T124" s="111"/>
      <c r="U124" s="112"/>
    </row>
    <row r="125" spans="5:30" ht="17.25" x14ac:dyDescent="0.25">
      <c r="K125" s="115"/>
      <c r="L125" s="110" t="s">
        <v>171</v>
      </c>
      <c r="M125" s="111"/>
      <c r="N125" s="111"/>
      <c r="O125" s="111"/>
      <c r="P125" s="111"/>
      <c r="Q125" s="111"/>
      <c r="R125" s="111"/>
      <c r="S125" s="111"/>
      <c r="T125" s="111"/>
      <c r="U125" s="112"/>
    </row>
    <row r="126" spans="5:30" ht="15.75" x14ac:dyDescent="0.25">
      <c r="K126" s="113"/>
      <c r="L126" s="114" t="s">
        <v>172</v>
      </c>
      <c r="M126" s="111"/>
      <c r="N126" s="111"/>
      <c r="O126" s="111"/>
      <c r="P126" s="111"/>
      <c r="Q126" s="111"/>
      <c r="R126" s="111"/>
      <c r="S126" s="111"/>
      <c r="T126" s="111"/>
      <c r="U126" s="112"/>
    </row>
    <row r="127" spans="5:30" ht="15.75" x14ac:dyDescent="0.25">
      <c r="K127" s="113"/>
      <c r="L127" s="114"/>
      <c r="M127" s="111"/>
      <c r="N127" s="111"/>
      <c r="O127" s="111"/>
      <c r="P127" s="111"/>
      <c r="Q127" s="111"/>
      <c r="R127" s="111"/>
      <c r="S127" s="111"/>
      <c r="T127" s="111"/>
      <c r="U127" s="112"/>
    </row>
    <row r="128" spans="5:30" ht="17.25" x14ac:dyDescent="0.25">
      <c r="K128" s="115"/>
      <c r="L128" s="110" t="s">
        <v>173</v>
      </c>
      <c r="M128" s="111"/>
      <c r="N128" s="111"/>
      <c r="O128" s="111"/>
      <c r="P128" s="111"/>
      <c r="Q128" s="111"/>
      <c r="R128" s="111"/>
      <c r="S128" s="111"/>
      <c r="T128" s="111"/>
      <c r="U128" s="112"/>
    </row>
    <row r="129" spans="10:22" ht="15.75" x14ac:dyDescent="0.25">
      <c r="K129" s="113"/>
      <c r="L129" s="114" t="s">
        <v>174</v>
      </c>
      <c r="M129" s="111"/>
      <c r="N129" s="111"/>
      <c r="O129" s="111"/>
      <c r="P129" s="111"/>
      <c r="Q129" s="111"/>
      <c r="R129" s="111"/>
      <c r="S129" s="111"/>
      <c r="T129" s="111"/>
      <c r="U129" s="112"/>
    </row>
    <row r="130" spans="10:22" ht="15.75" x14ac:dyDescent="0.25">
      <c r="K130" s="113"/>
      <c r="L130" s="114"/>
      <c r="M130" s="111"/>
      <c r="N130" s="111"/>
      <c r="O130" s="111"/>
      <c r="P130" s="111"/>
      <c r="Q130" s="111"/>
      <c r="R130" s="111"/>
      <c r="S130" s="111"/>
      <c r="T130" s="111"/>
      <c r="U130" s="112"/>
    </row>
    <row r="131" spans="10:22" ht="17.25" x14ac:dyDescent="0.25">
      <c r="K131" s="115"/>
      <c r="L131" s="116" t="s">
        <v>127</v>
      </c>
      <c r="M131" s="111"/>
      <c r="N131" s="111"/>
      <c r="O131" s="111"/>
      <c r="P131" s="111"/>
      <c r="Q131" s="111"/>
      <c r="R131" s="111"/>
      <c r="S131" s="111"/>
      <c r="T131" s="111"/>
      <c r="U131" s="112"/>
    </row>
    <row r="132" spans="10:22" ht="15.75" x14ac:dyDescent="0.25">
      <c r="K132" s="113"/>
      <c r="L132" s="114" t="s">
        <v>128</v>
      </c>
      <c r="M132" s="111"/>
      <c r="N132" s="111"/>
      <c r="O132" s="111"/>
      <c r="P132" s="111"/>
      <c r="Q132" s="111"/>
      <c r="R132" s="111"/>
      <c r="S132" s="111"/>
      <c r="T132" s="111"/>
      <c r="U132" s="112"/>
    </row>
    <row r="133" spans="10:22" ht="15.75" x14ac:dyDescent="0.25">
      <c r="K133" s="113"/>
      <c r="L133" s="114"/>
      <c r="M133" s="111"/>
      <c r="N133" s="111"/>
      <c r="O133" s="111"/>
      <c r="P133" s="111"/>
      <c r="Q133" s="111"/>
      <c r="R133" s="111"/>
      <c r="S133" s="111"/>
      <c r="T133" s="111"/>
      <c r="U133" s="112"/>
    </row>
    <row r="134" spans="10:22" ht="17.25" x14ac:dyDescent="0.25">
      <c r="K134" s="115"/>
      <c r="L134" s="110" t="s">
        <v>176</v>
      </c>
      <c r="M134" s="111"/>
      <c r="N134" s="111"/>
      <c r="O134" s="111"/>
      <c r="P134" s="111"/>
      <c r="Q134" s="111"/>
      <c r="R134" s="111"/>
      <c r="S134" s="111"/>
      <c r="T134" s="111"/>
      <c r="U134" s="112"/>
    </row>
    <row r="135" spans="10:22" ht="15.75" x14ac:dyDescent="0.25">
      <c r="K135" s="117"/>
      <c r="L135" s="118" t="s">
        <v>175</v>
      </c>
      <c r="M135" s="111"/>
      <c r="N135" s="111"/>
      <c r="O135" s="111"/>
      <c r="P135" s="111"/>
      <c r="Q135" s="111"/>
      <c r="R135" s="111"/>
      <c r="S135" s="111"/>
      <c r="T135" s="111"/>
      <c r="U135" s="112"/>
    </row>
    <row r="136" spans="10:22" ht="18" thickBot="1" x14ac:dyDescent="0.3">
      <c r="K136" s="119"/>
      <c r="L136" s="120"/>
      <c r="M136" s="120"/>
      <c r="N136" s="120"/>
      <c r="O136" s="120"/>
      <c r="P136" s="120"/>
      <c r="Q136" s="120"/>
      <c r="R136" s="120"/>
      <c r="S136" s="120"/>
      <c r="T136" s="120"/>
      <c r="U136" s="121"/>
    </row>
    <row r="137" spans="10:22" x14ac:dyDescent="0.25">
      <c r="K137" s="93"/>
    </row>
    <row r="138" spans="10:22" ht="21" x14ac:dyDescent="0.35">
      <c r="J138" s="105" t="s">
        <v>177</v>
      </c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</row>
  </sheetData>
  <sheetProtection algorithmName="SHA-512" hashValue="S6QQa6ywyC3eXElYHJe4vLpP7ydT4K2ViAOK4N9mVAE+mGFO9WbwGBQJgxqC3cRRUsIxEF/VoAGFegWujg0EJw==" saltValue="crJUGseIFhHIHO5H7J91WA==" spinCount="100000" sheet="1" formatCells="0" formatColumns="0" formatRows="0" insertColumns="0" insertRows="0" insertHyperlinks="0" deleteColumns="0" deleteRows="0" sort="0" autoFilter="0" pivotTables="0"/>
  <mergeCells count="27"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B29:C29"/>
    <mergeCell ref="P29:Q29"/>
    <mergeCell ref="Q35:S35"/>
    <mergeCell ref="Q33:T33"/>
    <mergeCell ref="Q36:T36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topLeftCell="A34" zoomScaleNormal="100" workbookViewId="0">
      <selection activeCell="N51" sqref="N51"/>
    </sheetView>
  </sheetViews>
  <sheetFormatPr defaultColWidth="9.140625" defaultRowHeight="15" x14ac:dyDescent="0.25"/>
  <cols>
    <col min="1" max="1" width="9.140625" style="15" customWidth="1"/>
    <col min="2" max="2" width="35.7109375" style="8" customWidth="1"/>
    <col min="3" max="3" width="9.42578125" style="8" customWidth="1"/>
    <col min="4" max="4" width="8.140625" style="8" customWidth="1"/>
    <col min="5" max="5" width="9" style="8" bestFit="1" customWidth="1"/>
    <col min="6" max="6" width="7.5703125" style="8" customWidth="1"/>
    <col min="7" max="7" width="7.7109375" style="8" bestFit="1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7.7109375" style="8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5" customFormat="1" ht="15.75" thickBot="1" x14ac:dyDescent="0.3">
      <c r="B1" s="168">
        <v>1</v>
      </c>
      <c r="C1" s="168">
        <v>2</v>
      </c>
      <c r="D1" s="168">
        <v>3</v>
      </c>
      <c r="E1" s="168">
        <v>4</v>
      </c>
      <c r="F1" s="168">
        <v>5</v>
      </c>
      <c r="G1" s="168">
        <v>6</v>
      </c>
      <c r="H1" s="168">
        <v>7</v>
      </c>
      <c r="I1" s="168">
        <v>8</v>
      </c>
      <c r="J1" s="168">
        <v>9</v>
      </c>
      <c r="K1" s="168">
        <v>10</v>
      </c>
      <c r="L1" s="168">
        <v>11</v>
      </c>
      <c r="M1" s="168">
        <v>12</v>
      </c>
    </row>
    <row r="2" spans="1:20" ht="15.75" customHeight="1" thickTop="1" x14ac:dyDescent="0.25">
      <c r="A2" s="169" t="s">
        <v>129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  <c r="N2" s="246" t="s">
        <v>161</v>
      </c>
      <c r="O2" s="247"/>
      <c r="P2" s="247"/>
      <c r="Q2" s="15"/>
      <c r="R2" s="15"/>
      <c r="S2" s="15"/>
      <c r="T2" s="15"/>
    </row>
    <row r="3" spans="1:20" x14ac:dyDescent="0.25">
      <c r="A3" s="169" t="s">
        <v>130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209" t="s">
        <v>162</v>
      </c>
      <c r="O3" s="209"/>
      <c r="P3" s="209"/>
      <c r="Q3" s="15"/>
      <c r="R3" s="15"/>
      <c r="S3" s="15"/>
      <c r="T3" s="15"/>
    </row>
    <row r="4" spans="1:20" ht="15" customHeight="1" x14ac:dyDescent="0.25">
      <c r="A4" s="169" t="s">
        <v>131</v>
      </c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N4" s="246" t="s">
        <v>163</v>
      </c>
      <c r="O4" s="247"/>
      <c r="P4" s="247"/>
      <c r="Q4" s="15"/>
      <c r="R4" s="15"/>
      <c r="S4" s="15"/>
      <c r="T4" s="15"/>
    </row>
    <row r="5" spans="1:20" x14ac:dyDescent="0.25">
      <c r="A5" s="169" t="s">
        <v>132</v>
      </c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N5" s="246" t="s">
        <v>164</v>
      </c>
      <c r="O5" s="247"/>
      <c r="P5" s="247"/>
      <c r="Q5" s="15"/>
      <c r="R5" s="15"/>
      <c r="S5" s="15"/>
      <c r="T5" s="15"/>
    </row>
    <row r="6" spans="1:20" x14ac:dyDescent="0.25">
      <c r="A6" s="169" t="s">
        <v>133</v>
      </c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  <c r="N6" s="205" t="s">
        <v>165</v>
      </c>
      <c r="O6" s="206"/>
      <c r="P6" s="206"/>
      <c r="Q6" s="15"/>
      <c r="R6" s="15"/>
      <c r="S6" s="15"/>
      <c r="T6" s="15"/>
    </row>
    <row r="7" spans="1:20" x14ac:dyDescent="0.25">
      <c r="A7" s="169" t="s">
        <v>134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20"/>
      <c r="N7" s="246" t="s">
        <v>166</v>
      </c>
      <c r="O7" s="247"/>
      <c r="P7" s="247"/>
      <c r="Q7" s="15"/>
      <c r="R7" s="15"/>
      <c r="S7" s="15"/>
      <c r="T7" s="15"/>
    </row>
    <row r="8" spans="1:20" x14ac:dyDescent="0.25">
      <c r="A8" s="169" t="s">
        <v>135</v>
      </c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20"/>
      <c r="N8" s="209"/>
      <c r="O8" s="209"/>
      <c r="P8" s="209"/>
      <c r="Q8" s="15"/>
      <c r="R8" s="15"/>
      <c r="S8" s="15"/>
      <c r="T8" s="15"/>
    </row>
    <row r="9" spans="1:20" ht="15.75" thickBot="1" x14ac:dyDescent="0.3">
      <c r="A9" s="169" t="s">
        <v>136</v>
      </c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  <c r="N9" s="209"/>
      <c r="O9" s="209"/>
      <c r="P9" s="209"/>
      <c r="Q9" s="15"/>
      <c r="R9" s="15"/>
      <c r="S9" s="15"/>
      <c r="T9" s="15"/>
    </row>
    <row r="10" spans="1:20" ht="16.5" thickTop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5.75" thickBot="1" x14ac:dyDescent="0.3">
      <c r="B11" s="14" t="s">
        <v>178</v>
      </c>
      <c r="C11" s="134" t="e">
        <f>AVERAGE(B2:B5)</f>
        <v>#DIV/0!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08"/>
      <c r="R12" s="208"/>
      <c r="S12" s="208"/>
      <c r="T12" s="123"/>
    </row>
    <row r="13" spans="1:20" ht="15.75" thickBot="1" x14ac:dyDescent="0.3">
      <c r="B13" s="15" t="s">
        <v>13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08"/>
      <c r="R13" s="208"/>
      <c r="S13" s="208"/>
      <c r="T13" s="123"/>
    </row>
    <row r="14" spans="1:20" x14ac:dyDescent="0.25">
      <c r="B14" s="16" t="s">
        <v>157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5"/>
      <c r="O14" s="15"/>
      <c r="P14" s="15"/>
      <c r="Q14" s="207"/>
      <c r="R14" s="207"/>
      <c r="S14" s="207"/>
      <c r="T14" s="123"/>
    </row>
    <row r="15" spans="1:20" x14ac:dyDescent="0.25">
      <c r="B15" s="19" t="s">
        <v>157</v>
      </c>
      <c r="C15" s="174" t="e">
        <f t="shared" ref="C15:L15" si="0">C3-$C$11</f>
        <v>#DIV/0!</v>
      </c>
      <c r="D15" s="174" t="e">
        <f t="shared" si="0"/>
        <v>#DIV/0!</v>
      </c>
      <c r="E15" s="174" t="e">
        <f t="shared" si="0"/>
        <v>#DIV/0!</v>
      </c>
      <c r="F15" s="174" t="e">
        <f t="shared" si="0"/>
        <v>#DIV/0!</v>
      </c>
      <c r="G15" s="174" t="e">
        <f t="shared" si="0"/>
        <v>#DIV/0!</v>
      </c>
      <c r="H15" s="174" t="e">
        <f t="shared" si="0"/>
        <v>#DIV/0!</v>
      </c>
      <c r="I15" s="174" t="e">
        <f t="shared" si="0"/>
        <v>#DIV/0!</v>
      </c>
      <c r="J15" s="174" t="e">
        <f t="shared" si="0"/>
        <v>#DIV/0!</v>
      </c>
      <c r="K15" s="180" t="e">
        <f t="shared" si="0"/>
        <v>#DIV/0!</v>
      </c>
      <c r="L15" s="181" t="e">
        <f t="shared" si="0"/>
        <v>#DIV/0!</v>
      </c>
      <c r="M15" s="21"/>
      <c r="N15" s="15"/>
      <c r="O15" s="15"/>
      <c r="P15" s="15"/>
      <c r="Q15" s="208"/>
      <c r="R15" s="208"/>
      <c r="S15" s="208"/>
      <c r="T15" s="123"/>
    </row>
    <row r="16" spans="1:20" x14ac:dyDescent="0.25">
      <c r="B16" s="19" t="s">
        <v>157</v>
      </c>
      <c r="C16" s="174" t="e">
        <f t="shared" ref="C16:L16" si="1">C4-$C$11</f>
        <v>#DIV/0!</v>
      </c>
      <c r="D16" s="174" t="e">
        <f t="shared" si="1"/>
        <v>#DIV/0!</v>
      </c>
      <c r="E16" s="174" t="e">
        <f t="shared" si="1"/>
        <v>#DIV/0!</v>
      </c>
      <c r="F16" s="174" t="e">
        <f t="shared" si="1"/>
        <v>#DIV/0!</v>
      </c>
      <c r="G16" s="174" t="e">
        <f t="shared" si="1"/>
        <v>#DIV/0!</v>
      </c>
      <c r="H16" s="174" t="e">
        <f t="shared" si="1"/>
        <v>#DIV/0!</v>
      </c>
      <c r="I16" s="174" t="e">
        <f t="shared" si="1"/>
        <v>#DIV/0!</v>
      </c>
      <c r="J16" s="174" t="e">
        <f t="shared" si="1"/>
        <v>#DIV/0!</v>
      </c>
      <c r="K16" s="180" t="e">
        <f t="shared" si="1"/>
        <v>#DIV/0!</v>
      </c>
      <c r="L16" s="181" t="e">
        <f t="shared" si="1"/>
        <v>#DIV/0!</v>
      </c>
      <c r="M16" s="21"/>
      <c r="N16" s="15"/>
      <c r="O16" s="15"/>
      <c r="P16" s="15"/>
      <c r="Q16" s="15"/>
      <c r="R16" s="15"/>
      <c r="S16" s="15"/>
      <c r="T16" s="15"/>
    </row>
    <row r="17" spans="2:20" x14ac:dyDescent="0.25">
      <c r="B17" s="19" t="s">
        <v>157</v>
      </c>
      <c r="C17" s="174" t="e">
        <f t="shared" ref="C17:L17" si="2">C5-$C$11</f>
        <v>#DIV/0!</v>
      </c>
      <c r="D17" s="174" t="e">
        <f t="shared" si="2"/>
        <v>#DIV/0!</v>
      </c>
      <c r="E17" s="174" t="e">
        <f t="shared" si="2"/>
        <v>#DIV/0!</v>
      </c>
      <c r="F17" s="174" t="e">
        <f t="shared" si="2"/>
        <v>#DIV/0!</v>
      </c>
      <c r="G17" s="174" t="e">
        <f t="shared" si="2"/>
        <v>#DIV/0!</v>
      </c>
      <c r="H17" s="174" t="e">
        <f t="shared" si="2"/>
        <v>#DIV/0!</v>
      </c>
      <c r="I17" s="174" t="e">
        <f t="shared" si="2"/>
        <v>#DIV/0!</v>
      </c>
      <c r="J17" s="174" t="e">
        <f t="shared" si="2"/>
        <v>#DIV/0!</v>
      </c>
      <c r="K17" s="180" t="e">
        <f t="shared" si="2"/>
        <v>#DIV/0!</v>
      </c>
      <c r="L17" s="181" t="e">
        <f t="shared" si="2"/>
        <v>#DIV/0!</v>
      </c>
      <c r="M17" s="21"/>
      <c r="N17" s="15"/>
      <c r="O17" s="15"/>
      <c r="P17" s="15"/>
      <c r="Q17" s="15"/>
      <c r="R17" s="15"/>
      <c r="S17" s="15"/>
      <c r="T17" s="15"/>
    </row>
    <row r="18" spans="2:20" x14ac:dyDescent="0.25">
      <c r="B18" s="22"/>
      <c r="C18" s="174" t="e">
        <f t="shared" ref="C18:L18" si="3">C6-$C$11</f>
        <v>#DIV/0!</v>
      </c>
      <c r="D18" s="174" t="e">
        <f t="shared" si="3"/>
        <v>#DIV/0!</v>
      </c>
      <c r="E18" s="174" t="e">
        <f t="shared" si="3"/>
        <v>#DIV/0!</v>
      </c>
      <c r="F18" s="174" t="e">
        <f t="shared" si="3"/>
        <v>#DIV/0!</v>
      </c>
      <c r="G18" s="174" t="e">
        <f t="shared" si="3"/>
        <v>#DIV/0!</v>
      </c>
      <c r="H18" s="174" t="e">
        <f t="shared" si="3"/>
        <v>#DIV/0!</v>
      </c>
      <c r="I18" s="174" t="e">
        <f t="shared" si="3"/>
        <v>#DIV/0!</v>
      </c>
      <c r="J18" s="174" t="e">
        <f t="shared" si="3"/>
        <v>#DIV/0!</v>
      </c>
      <c r="K18" s="182" t="e">
        <f t="shared" si="3"/>
        <v>#DIV/0!</v>
      </c>
      <c r="L18" s="174" t="e">
        <f t="shared" si="3"/>
        <v>#DIV/0!</v>
      </c>
      <c r="M18" s="21"/>
      <c r="N18" s="15"/>
      <c r="O18" s="15"/>
      <c r="P18" s="15"/>
      <c r="Q18" s="15"/>
      <c r="R18" s="15"/>
      <c r="S18" s="15"/>
      <c r="T18" s="15"/>
    </row>
    <row r="19" spans="2:20" x14ac:dyDescent="0.25">
      <c r="B19" s="22"/>
      <c r="C19" s="174" t="e">
        <f t="shared" ref="C19:L19" si="4">C7-$C$11</f>
        <v>#DIV/0!</v>
      </c>
      <c r="D19" s="174" t="e">
        <f t="shared" si="4"/>
        <v>#DIV/0!</v>
      </c>
      <c r="E19" s="174" t="e">
        <f t="shared" si="4"/>
        <v>#DIV/0!</v>
      </c>
      <c r="F19" s="174" t="e">
        <f t="shared" si="4"/>
        <v>#DIV/0!</v>
      </c>
      <c r="G19" s="174" t="e">
        <f t="shared" si="4"/>
        <v>#DIV/0!</v>
      </c>
      <c r="H19" s="174" t="e">
        <f t="shared" si="4"/>
        <v>#DIV/0!</v>
      </c>
      <c r="I19" s="174" t="e">
        <f t="shared" si="4"/>
        <v>#DIV/0!</v>
      </c>
      <c r="J19" s="174" t="e">
        <f t="shared" si="4"/>
        <v>#DIV/0!</v>
      </c>
      <c r="K19" s="182" t="e">
        <f t="shared" si="4"/>
        <v>#DIV/0!</v>
      </c>
      <c r="L19" s="174" t="e">
        <f t="shared" si="4"/>
        <v>#DIV/0!</v>
      </c>
      <c r="M19" s="21"/>
      <c r="N19" s="15"/>
      <c r="O19" s="15"/>
      <c r="P19" s="15"/>
      <c r="Q19" s="15"/>
      <c r="R19" s="15"/>
      <c r="S19" s="15"/>
      <c r="T19" s="15"/>
    </row>
    <row r="20" spans="2:20" x14ac:dyDescent="0.25">
      <c r="B20" s="22"/>
      <c r="C20" s="174" t="e">
        <f t="shared" ref="C20:L20" si="5">C8-$C$11</f>
        <v>#DIV/0!</v>
      </c>
      <c r="D20" s="174" t="e">
        <f t="shared" si="5"/>
        <v>#DIV/0!</v>
      </c>
      <c r="E20" s="174" t="e">
        <f t="shared" si="5"/>
        <v>#DIV/0!</v>
      </c>
      <c r="F20" s="174" t="e">
        <f t="shared" si="5"/>
        <v>#DIV/0!</v>
      </c>
      <c r="G20" s="174" t="e">
        <f t="shared" si="5"/>
        <v>#DIV/0!</v>
      </c>
      <c r="H20" s="174" t="e">
        <f t="shared" si="5"/>
        <v>#DIV/0!</v>
      </c>
      <c r="I20" s="174" t="e">
        <f t="shared" si="5"/>
        <v>#DIV/0!</v>
      </c>
      <c r="J20" s="174" t="e">
        <f t="shared" si="5"/>
        <v>#DIV/0!</v>
      </c>
      <c r="K20" s="182" t="e">
        <f t="shared" si="5"/>
        <v>#DIV/0!</v>
      </c>
      <c r="L20" s="174" t="e">
        <f t="shared" si="5"/>
        <v>#DIV/0!</v>
      </c>
      <c r="M20" s="21"/>
      <c r="N20" s="15"/>
      <c r="O20" s="15"/>
      <c r="P20" s="15"/>
      <c r="Q20" s="15"/>
      <c r="R20" s="15"/>
      <c r="S20" s="15"/>
      <c r="T20" s="15"/>
    </row>
    <row r="21" spans="2:20" ht="15.75" thickBo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5"/>
      <c r="O21" s="15"/>
      <c r="P21" s="15"/>
      <c r="Q21" s="15"/>
      <c r="R21" s="15"/>
      <c r="S21" s="15"/>
      <c r="T21" s="15"/>
    </row>
    <row r="22" spans="2:20" ht="15.75" thickBo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24.75" thickTop="1" thickBot="1" x14ac:dyDescent="0.3">
      <c r="B23" s="31" t="s">
        <v>14</v>
      </c>
      <c r="C23" s="32" t="s">
        <v>179</v>
      </c>
      <c r="D23" s="32" t="s">
        <v>180</v>
      </c>
      <c r="E23" s="33" t="s">
        <v>181</v>
      </c>
      <c r="F23" s="15"/>
      <c r="G23" s="77"/>
      <c r="H23" s="15"/>
      <c r="I23" s="15"/>
      <c r="J23" s="71" t="s">
        <v>202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 thickTop="1" thickBot="1" x14ac:dyDescent="0.3">
      <c r="B24" s="34" t="s">
        <v>54</v>
      </c>
      <c r="C24" s="137" t="e">
        <f>'YF MAC-HD control check'!G5</f>
        <v>#DIV/0!</v>
      </c>
      <c r="D24" s="35" t="s">
        <v>42</v>
      </c>
      <c r="E24" s="36" t="e">
        <f>'YF MAC-HD control check'!H5</f>
        <v>#DIV/0!</v>
      </c>
      <c r="F24" s="15"/>
      <c r="G24" s="15"/>
      <c r="H24" s="70"/>
      <c r="I24" s="70"/>
      <c r="J24" s="70"/>
      <c r="K24" s="70"/>
      <c r="L24" s="70"/>
      <c r="M24" s="70"/>
      <c r="N24" s="15"/>
      <c r="O24" s="15"/>
      <c r="P24" s="15"/>
      <c r="Q24" s="15"/>
      <c r="R24" s="15"/>
      <c r="S24" s="15"/>
      <c r="T24" s="15"/>
    </row>
    <row r="25" spans="2:20" ht="16.5" thickTop="1" thickBot="1" x14ac:dyDescent="0.3">
      <c r="B25" s="34" t="s">
        <v>1</v>
      </c>
      <c r="C25" s="131" t="str">
        <f>'YF MAC-HD control check'!G8</f>
        <v>N/A</v>
      </c>
      <c r="D25" s="35" t="s">
        <v>64</v>
      </c>
      <c r="E25" s="36" t="e">
        <f>'YF MAC-HD control check'!H7</f>
        <v>#DIV/0!</v>
      </c>
      <c r="F25" s="15"/>
      <c r="G25" s="15"/>
      <c r="H25" s="70"/>
      <c r="I25" s="70"/>
      <c r="J25" s="72" t="s">
        <v>196</v>
      </c>
      <c r="K25" s="252" t="s">
        <v>203</v>
      </c>
      <c r="L25" s="253"/>
      <c r="M25" s="254"/>
      <c r="N25" s="15"/>
      <c r="O25" s="15"/>
      <c r="P25" s="15"/>
      <c r="Q25" s="15"/>
      <c r="R25" s="15"/>
      <c r="S25" s="15"/>
      <c r="T25" s="15"/>
    </row>
    <row r="26" spans="2:20" ht="16.5" thickTop="1" thickBot="1" x14ac:dyDescent="0.3">
      <c r="B26" s="34" t="s">
        <v>55</v>
      </c>
      <c r="C26" s="137" t="e">
        <f>'YF MAC-HD control check'!G14</f>
        <v>#DIV/0!</v>
      </c>
      <c r="D26" s="35" t="s">
        <v>44</v>
      </c>
      <c r="E26" s="36" t="e">
        <f>'YF MAC-HD control check'!H17</f>
        <v>#DIV/0!</v>
      </c>
      <c r="F26" s="15"/>
      <c r="G26" s="15"/>
      <c r="H26" s="70"/>
      <c r="I26" s="70"/>
      <c r="J26" s="72" t="s">
        <v>79</v>
      </c>
      <c r="K26" s="255" t="s">
        <v>204</v>
      </c>
      <c r="L26" s="256"/>
      <c r="M26" s="257"/>
      <c r="N26" s="15"/>
      <c r="O26" s="15"/>
      <c r="P26" s="15"/>
      <c r="Q26" s="15"/>
      <c r="R26" s="15"/>
      <c r="S26" s="15"/>
      <c r="T26" s="15"/>
    </row>
    <row r="27" spans="2:20" ht="16.5" thickTop="1" thickBot="1" x14ac:dyDescent="0.3">
      <c r="B27" s="34" t="s">
        <v>5</v>
      </c>
      <c r="C27" s="138" t="e">
        <f>'YF MAC-HD control check'!G18</f>
        <v>#DIV/0!</v>
      </c>
      <c r="D27" s="35" t="s">
        <v>40</v>
      </c>
      <c r="E27" s="36" t="e">
        <f>'YF MAC-HD control check'!H16</f>
        <v>#DIV/0!</v>
      </c>
      <c r="F27" s="15"/>
      <c r="G27" s="15"/>
      <c r="H27" s="70"/>
      <c r="I27" s="70"/>
      <c r="J27" s="72" t="s">
        <v>197</v>
      </c>
      <c r="K27" s="252" t="s">
        <v>205</v>
      </c>
      <c r="L27" s="253"/>
      <c r="M27" s="254"/>
      <c r="N27" s="15"/>
      <c r="O27" s="15"/>
      <c r="P27" s="15"/>
      <c r="Q27" s="15"/>
      <c r="R27" s="15"/>
      <c r="S27" s="15"/>
      <c r="T27" s="15"/>
    </row>
    <row r="28" spans="2:20" ht="16.5" thickTop="1" thickBot="1" x14ac:dyDescent="0.3">
      <c r="B28" s="34" t="s">
        <v>2</v>
      </c>
      <c r="C28" s="132" t="e">
        <f>'YF MAC-HD control check'!G27</f>
        <v>#DIV/0!</v>
      </c>
      <c r="D28" s="37"/>
      <c r="E28" s="38"/>
      <c r="F28" s="15"/>
      <c r="G28" s="15"/>
      <c r="H28" s="70"/>
      <c r="I28" s="70"/>
      <c r="J28" s="72" t="s">
        <v>198</v>
      </c>
      <c r="K28" s="255" t="s">
        <v>206</v>
      </c>
      <c r="L28" s="256"/>
      <c r="M28" s="257"/>
      <c r="N28" s="15"/>
      <c r="O28" s="15"/>
      <c r="P28" s="15"/>
      <c r="Q28" s="15"/>
      <c r="R28" s="15"/>
      <c r="S28" s="15"/>
      <c r="T28" s="15"/>
    </row>
    <row r="29" spans="2:20" ht="15" customHeight="1" thickTop="1" thickBot="1" x14ac:dyDescent="0.3">
      <c r="B29" s="34" t="s">
        <v>4</v>
      </c>
      <c r="C29" s="137" t="str">
        <f>IF(AND(ISNUMBER(C25),ISNUMBER(C28),ISNUMBER(C25/C28)),C25/C28,"N/A")</f>
        <v>N/A</v>
      </c>
      <c r="D29" s="35" t="s">
        <v>15</v>
      </c>
      <c r="E29" s="36" t="str">
        <f>IF(AND(ISNUMBER(C29),(C29&gt;=2)),"Valid", "Not valid")</f>
        <v>Not valid</v>
      </c>
      <c r="F29" s="15"/>
      <c r="G29" s="15"/>
      <c r="H29" s="70"/>
      <c r="I29" s="70"/>
      <c r="J29" s="72" t="s">
        <v>199</v>
      </c>
      <c r="K29" s="252" t="s">
        <v>207</v>
      </c>
      <c r="L29" s="253"/>
      <c r="M29" s="254"/>
      <c r="N29" s="15"/>
      <c r="O29" s="15"/>
      <c r="P29" s="15"/>
      <c r="Q29" s="15"/>
      <c r="R29" s="15"/>
      <c r="S29" s="15"/>
      <c r="T29" s="15"/>
    </row>
    <row r="30" spans="2:20" ht="15" customHeight="1" thickTop="1" thickBot="1" x14ac:dyDescent="0.3">
      <c r="B30" s="34" t="s">
        <v>193</v>
      </c>
      <c r="C30" s="137" t="e">
        <f>IF(OR(C25="N/A",C27="N/A"),"N/A",C25/C27)</f>
        <v>#DIV/0!</v>
      </c>
      <c r="D30" s="35" t="s">
        <v>62</v>
      </c>
      <c r="E30" s="36" t="e">
        <f>IF(AND(C30&lt;&gt;"N/A",C30&gt;=3),"Valid","Not Valid")</f>
        <v>#DIV/0!</v>
      </c>
      <c r="F30" s="15"/>
      <c r="G30" s="15"/>
      <c r="H30" s="70"/>
      <c r="I30" s="70"/>
      <c r="J30" s="72" t="s">
        <v>200</v>
      </c>
      <c r="K30" s="249" t="s">
        <v>208</v>
      </c>
      <c r="L30" s="250"/>
      <c r="M30" s="251"/>
      <c r="N30" s="15"/>
      <c r="O30" s="15"/>
      <c r="P30" s="15"/>
      <c r="Q30" s="15"/>
      <c r="R30" s="15"/>
      <c r="S30" s="15"/>
      <c r="T30" s="15"/>
    </row>
    <row r="31" spans="2:20" ht="19.5" customHeight="1" thickTop="1" thickBot="1" x14ac:dyDescent="0.55000000000000004">
      <c r="B31" s="83" t="s">
        <v>192</v>
      </c>
      <c r="C31" s="39"/>
      <c r="D31" s="40"/>
      <c r="E31" s="84" t="e">
        <f>IF(AND(E24="Valid",E25="Valid",E26="Valid",E27="Valid",E29="Valid", E30="Valid"),"Yes","No - Repeat")</f>
        <v>#DIV/0!</v>
      </c>
      <c r="F31" s="15"/>
      <c r="G31" s="5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.75" customHeight="1" thickTop="1" x14ac:dyDescent="0.5">
      <c r="B32" s="78"/>
      <c r="C32" s="73"/>
      <c r="D32" s="35"/>
      <c r="E32" s="35"/>
      <c r="F32" s="15"/>
      <c r="G32" s="5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.75" customHeight="1" thickBot="1" x14ac:dyDescent="0.55000000000000004">
      <c r="B33" s="78"/>
      <c r="C33" s="73"/>
      <c r="D33" s="35"/>
      <c r="E33" s="35"/>
      <c r="F33" s="15"/>
      <c r="G33" s="5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20.45" customHeight="1" thickTop="1" thickBot="1" x14ac:dyDescent="0.55000000000000004">
      <c r="B34" s="82" t="s">
        <v>182</v>
      </c>
      <c r="C34" s="88" t="s">
        <v>0</v>
      </c>
      <c r="D34" s="33" t="s">
        <v>3</v>
      </c>
      <c r="E34" s="35"/>
      <c r="F34" s="15"/>
      <c r="G34" s="5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20.100000000000001" customHeight="1" thickTop="1" x14ac:dyDescent="0.5">
      <c r="B35" s="79" t="s">
        <v>77</v>
      </c>
      <c r="C35" s="85" t="s">
        <v>80</v>
      </c>
      <c r="D35" s="86" t="s">
        <v>81</v>
      </c>
      <c r="E35" s="35"/>
      <c r="F35" s="15"/>
      <c r="G35" s="5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9.5" customHeight="1" x14ac:dyDescent="0.5">
      <c r="B36" s="80" t="s">
        <v>78</v>
      </c>
      <c r="C36" s="86" t="s">
        <v>82</v>
      </c>
      <c r="D36" s="86" t="s">
        <v>81</v>
      </c>
      <c r="E36" s="15"/>
      <c r="F36" s="15"/>
      <c r="G36" s="5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8" customHeight="1" x14ac:dyDescent="0.5">
      <c r="B37" s="80" t="s">
        <v>76</v>
      </c>
      <c r="C37" s="86" t="s">
        <v>84</v>
      </c>
      <c r="D37" s="86" t="s">
        <v>83</v>
      </c>
      <c r="E37" s="15"/>
      <c r="F37" s="15"/>
      <c r="G37" s="5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8" customHeight="1" thickBot="1" x14ac:dyDescent="0.55000000000000004">
      <c r="B38" s="81" t="s">
        <v>76</v>
      </c>
      <c r="C38" s="87" t="s">
        <v>83</v>
      </c>
      <c r="D38" s="87" t="s">
        <v>84</v>
      </c>
      <c r="E38" s="15"/>
      <c r="F38" s="15"/>
      <c r="G38" s="5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.75" thickTop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21" x14ac:dyDescent="0.35">
      <c r="B40" s="41" t="s">
        <v>65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30" customHeight="1" x14ac:dyDescent="0.25">
      <c r="B41" s="130" t="s">
        <v>9</v>
      </c>
      <c r="C41" s="124" t="s">
        <v>183</v>
      </c>
      <c r="D41" s="125" t="s">
        <v>10</v>
      </c>
      <c r="E41" s="125" t="s">
        <v>0</v>
      </c>
      <c r="F41" s="125" t="s">
        <v>18</v>
      </c>
      <c r="G41" s="125" t="s">
        <v>11</v>
      </c>
      <c r="H41" s="125" t="s">
        <v>3</v>
      </c>
      <c r="I41" s="211" t="s">
        <v>184</v>
      </c>
      <c r="J41" s="126" t="s">
        <v>185</v>
      </c>
      <c r="K41" s="20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25">
      <c r="B42" s="170">
        <v>1</v>
      </c>
      <c r="C42" s="173" t="s">
        <v>19</v>
      </c>
      <c r="D42" s="174" t="e">
        <f t="shared" ref="D42:D47" si="6">IF($E$31="YES",C15,"Invalid test")</f>
        <v>#DIV/0!</v>
      </c>
      <c r="E42" s="174" t="e">
        <f t="shared" ref="E42:E65" si="7">D42/$C$27</f>
        <v>#DIV/0!</v>
      </c>
      <c r="F42" s="70" t="s">
        <v>19</v>
      </c>
      <c r="G42" s="174" t="e">
        <f>IF(E31="YES",D15,"Invalid test")</f>
        <v>#DIV/0!</v>
      </c>
      <c r="H42" s="174" t="e">
        <f>IF(AND(ISNUMBER(D42),ISNUMBER(G42),ISNUMBER(D42/G42),D42/G42&gt;0),D42/G42, "Not valid")</f>
        <v>#DIV/0!</v>
      </c>
      <c r="I42" s="175" t="str">
        <f>IF(AND(ISNUMBER(H42)),IF(AND(H42&gt;=1.5,E42&gt;=2),"POS",IF(AND(H42&gt;=1.5,E42&gt;1.5),"EQ","NEG")),"Not valid")</f>
        <v>Not valid</v>
      </c>
      <c r="J42" s="171" t="str">
        <f>IF(I42="POS","POS",IF(I42="EQ","EQ repeat using optional YF MAC-ON",IF(I42="NEG","NEG","Analyse répétée de l’échantillon")))</f>
        <v>Analyse répétée de l’échantillon</v>
      </c>
      <c r="K42" s="20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25">
      <c r="B43" s="170">
        <v>2</v>
      </c>
      <c r="C43" s="173" t="s">
        <v>20</v>
      </c>
      <c r="D43" s="174" t="e">
        <f t="shared" si="6"/>
        <v>#DIV/0!</v>
      </c>
      <c r="E43" s="174" t="e">
        <f t="shared" si="7"/>
        <v>#DIV/0!</v>
      </c>
      <c r="F43" s="70" t="s">
        <v>20</v>
      </c>
      <c r="G43" s="174" t="e">
        <f>IF($E$31="YES",D16,"Invalid test")</f>
        <v>#DIV/0!</v>
      </c>
      <c r="H43" s="213" t="e">
        <f t="shared" ref="H43:H65" si="8">IF(AND(ISNUMBER(D43),ISNUMBER(G43),ISNUMBER(D43/G43),D43/G43&gt;0),D43/G43, "Not valid")</f>
        <v>#DIV/0!</v>
      </c>
      <c r="I43" s="175" t="str">
        <f t="shared" ref="I43:I65" si="9">IF(AND(ISNUMBER(H43)),IF(AND(H43&gt;=1.5,E43&gt;=2),"POS",IF(AND(H43&gt;=1.5,E43&gt;1.5),"EQ","NEG")),"Not valid")</f>
        <v>Not valid</v>
      </c>
      <c r="J43" s="171" t="str">
        <f t="shared" ref="J43:J65" si="10">IF(I43="POS","POS",IF(I43="EQ","EQ repeat using optional YF MAC-ON",IF(I43="NEG","NEG","Analyse répétée de l’échantillon")))</f>
        <v>Analyse répétée de l’échantillon</v>
      </c>
      <c r="K43" s="20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25">
      <c r="B44" s="170">
        <v>3</v>
      </c>
      <c r="C44" s="173" t="s">
        <v>21</v>
      </c>
      <c r="D44" s="174" t="e">
        <f t="shared" si="6"/>
        <v>#DIV/0!</v>
      </c>
      <c r="E44" s="174" t="e">
        <f t="shared" si="7"/>
        <v>#DIV/0!</v>
      </c>
      <c r="F44" s="70" t="s">
        <v>21</v>
      </c>
      <c r="G44" s="174" t="e">
        <f>IF($E$31="YES",D17,"Invalid test")</f>
        <v>#DIV/0!</v>
      </c>
      <c r="H44" s="213" t="e">
        <f t="shared" si="8"/>
        <v>#DIV/0!</v>
      </c>
      <c r="I44" s="175" t="str">
        <f t="shared" si="9"/>
        <v>Not valid</v>
      </c>
      <c r="J44" s="171" t="str">
        <f t="shared" si="10"/>
        <v>Analyse répétée de l’échantillon</v>
      </c>
      <c r="K44" s="20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25">
      <c r="B45" s="170">
        <v>4</v>
      </c>
      <c r="C45" s="173" t="s">
        <v>22</v>
      </c>
      <c r="D45" s="174" t="e">
        <f t="shared" si="6"/>
        <v>#DIV/0!</v>
      </c>
      <c r="E45" s="174" t="e">
        <f t="shared" si="7"/>
        <v>#DIV/0!</v>
      </c>
      <c r="F45" s="70" t="s">
        <v>22</v>
      </c>
      <c r="G45" s="174" t="e">
        <f>IF($E$31="YES",D18,"Invalid test")</f>
        <v>#DIV/0!</v>
      </c>
      <c r="H45" s="213" t="e">
        <f t="shared" si="8"/>
        <v>#DIV/0!</v>
      </c>
      <c r="I45" s="175" t="str">
        <f t="shared" si="9"/>
        <v>Not valid</v>
      </c>
      <c r="J45" s="171" t="str">
        <f t="shared" si="10"/>
        <v>Analyse répétée de l’échantillon</v>
      </c>
      <c r="K45" s="20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25">
      <c r="B46" s="170">
        <v>5</v>
      </c>
      <c r="C46" s="173" t="s">
        <v>23</v>
      </c>
      <c r="D46" s="174" t="e">
        <f t="shared" si="6"/>
        <v>#DIV/0!</v>
      </c>
      <c r="E46" s="174" t="e">
        <f t="shared" si="7"/>
        <v>#DIV/0!</v>
      </c>
      <c r="F46" s="70" t="s">
        <v>23</v>
      </c>
      <c r="G46" s="174" t="e">
        <f>IF($E$31="YES",D19,"Invalid test")</f>
        <v>#DIV/0!</v>
      </c>
      <c r="H46" s="213" t="e">
        <f t="shared" si="8"/>
        <v>#DIV/0!</v>
      </c>
      <c r="I46" s="175" t="str">
        <f t="shared" si="9"/>
        <v>Not valid</v>
      </c>
      <c r="J46" s="171" t="str">
        <f t="shared" si="10"/>
        <v>Analyse répétée de l’échantillon</v>
      </c>
      <c r="K46" s="20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25">
      <c r="B47" s="170">
        <v>6</v>
      </c>
      <c r="C47" s="173" t="s">
        <v>144</v>
      </c>
      <c r="D47" s="174" t="e">
        <f t="shared" si="6"/>
        <v>#DIV/0!</v>
      </c>
      <c r="E47" s="174" t="e">
        <f t="shared" si="7"/>
        <v>#DIV/0!</v>
      </c>
      <c r="F47" s="70" t="s">
        <v>144</v>
      </c>
      <c r="G47" s="174" t="e">
        <f>IF($E$31="YES",D20,"Invalid test")</f>
        <v>#DIV/0!</v>
      </c>
      <c r="H47" s="213" t="e">
        <f t="shared" si="8"/>
        <v>#DIV/0!</v>
      </c>
      <c r="I47" s="175" t="str">
        <f t="shared" si="9"/>
        <v>Not valid</v>
      </c>
      <c r="J47" s="171" t="str">
        <f t="shared" si="10"/>
        <v>Analyse répétée de l’échantillon</v>
      </c>
      <c r="K47" s="20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25">
      <c r="B48" s="170">
        <v>7</v>
      </c>
      <c r="C48" s="173" t="s">
        <v>24</v>
      </c>
      <c r="D48" s="174" t="e">
        <f t="shared" ref="D48:D53" si="11">IF($E$31="YES",E15,"Invalid test")</f>
        <v>#DIV/0!</v>
      </c>
      <c r="E48" s="174" t="e">
        <f t="shared" si="7"/>
        <v>#DIV/0!</v>
      </c>
      <c r="F48" s="70" t="s">
        <v>24</v>
      </c>
      <c r="G48" s="174" t="e">
        <f t="shared" ref="G48:G53" si="12">IF($E$31="YES",F15,"Invalid test")</f>
        <v>#DIV/0!</v>
      </c>
      <c r="H48" s="213" t="e">
        <f t="shared" si="8"/>
        <v>#DIV/0!</v>
      </c>
      <c r="I48" s="175" t="str">
        <f t="shared" si="9"/>
        <v>Not valid</v>
      </c>
      <c r="J48" s="171" t="str">
        <f t="shared" si="10"/>
        <v>Analyse répétée de l’échantillon</v>
      </c>
      <c r="K48" s="20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25">
      <c r="B49" s="170">
        <v>8</v>
      </c>
      <c r="C49" s="173" t="s">
        <v>25</v>
      </c>
      <c r="D49" s="174" t="e">
        <f t="shared" si="11"/>
        <v>#DIV/0!</v>
      </c>
      <c r="E49" s="174" t="e">
        <f t="shared" si="7"/>
        <v>#DIV/0!</v>
      </c>
      <c r="F49" s="70" t="s">
        <v>25</v>
      </c>
      <c r="G49" s="174" t="e">
        <f t="shared" si="12"/>
        <v>#DIV/0!</v>
      </c>
      <c r="H49" s="213" t="e">
        <f t="shared" si="8"/>
        <v>#DIV/0!</v>
      </c>
      <c r="I49" s="175" t="str">
        <f t="shared" si="9"/>
        <v>Not valid</v>
      </c>
      <c r="J49" s="171" t="str">
        <f t="shared" si="10"/>
        <v>Analyse répétée de l’échantillon</v>
      </c>
      <c r="K49" s="20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25">
      <c r="B50" s="170">
        <v>9</v>
      </c>
      <c r="C50" s="173" t="s">
        <v>26</v>
      </c>
      <c r="D50" s="174" t="e">
        <f t="shared" si="11"/>
        <v>#DIV/0!</v>
      </c>
      <c r="E50" s="174" t="e">
        <f t="shared" si="7"/>
        <v>#DIV/0!</v>
      </c>
      <c r="F50" s="70" t="s">
        <v>26</v>
      </c>
      <c r="G50" s="174" t="e">
        <f t="shared" si="12"/>
        <v>#DIV/0!</v>
      </c>
      <c r="H50" s="213" t="e">
        <f t="shared" si="8"/>
        <v>#DIV/0!</v>
      </c>
      <c r="I50" s="175" t="str">
        <f t="shared" si="9"/>
        <v>Not valid</v>
      </c>
      <c r="J50" s="171" t="str">
        <f t="shared" si="10"/>
        <v>Analyse répétée de l’échantillon</v>
      </c>
      <c r="K50" s="20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25">
      <c r="B51" s="170">
        <v>10</v>
      </c>
      <c r="C51" s="173" t="s">
        <v>27</v>
      </c>
      <c r="D51" s="174" t="e">
        <f t="shared" si="11"/>
        <v>#DIV/0!</v>
      </c>
      <c r="E51" s="174" t="e">
        <f t="shared" si="7"/>
        <v>#DIV/0!</v>
      </c>
      <c r="F51" s="70" t="s">
        <v>27</v>
      </c>
      <c r="G51" s="174" t="e">
        <f t="shared" si="12"/>
        <v>#DIV/0!</v>
      </c>
      <c r="H51" s="213" t="e">
        <f t="shared" si="8"/>
        <v>#DIV/0!</v>
      </c>
      <c r="I51" s="175" t="str">
        <f t="shared" si="9"/>
        <v>Not valid</v>
      </c>
      <c r="J51" s="171" t="str">
        <f t="shared" si="10"/>
        <v>Analyse répétée de l’échantillon</v>
      </c>
      <c r="K51" s="20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25">
      <c r="B52" s="170">
        <v>11</v>
      </c>
      <c r="C52" s="173" t="s">
        <v>28</v>
      </c>
      <c r="D52" s="174" t="e">
        <f t="shared" si="11"/>
        <v>#DIV/0!</v>
      </c>
      <c r="E52" s="174" t="e">
        <f t="shared" si="7"/>
        <v>#DIV/0!</v>
      </c>
      <c r="F52" s="70" t="s">
        <v>28</v>
      </c>
      <c r="G52" s="174" t="e">
        <f t="shared" si="12"/>
        <v>#DIV/0!</v>
      </c>
      <c r="H52" s="213" t="e">
        <f t="shared" si="8"/>
        <v>#DIV/0!</v>
      </c>
      <c r="I52" s="175" t="str">
        <f t="shared" si="9"/>
        <v>Not valid</v>
      </c>
      <c r="J52" s="171" t="str">
        <f t="shared" si="10"/>
        <v>Analyse répétée de l’échantillon</v>
      </c>
      <c r="K52" s="20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25">
      <c r="B53" s="170">
        <v>12</v>
      </c>
      <c r="C53" s="173" t="s">
        <v>145</v>
      </c>
      <c r="D53" s="174" t="e">
        <f t="shared" si="11"/>
        <v>#DIV/0!</v>
      </c>
      <c r="E53" s="174" t="e">
        <f t="shared" si="7"/>
        <v>#DIV/0!</v>
      </c>
      <c r="F53" s="70" t="s">
        <v>145</v>
      </c>
      <c r="G53" s="174" t="e">
        <f t="shared" si="12"/>
        <v>#DIV/0!</v>
      </c>
      <c r="H53" s="213" t="e">
        <f t="shared" si="8"/>
        <v>#DIV/0!</v>
      </c>
      <c r="I53" s="175" t="str">
        <f t="shared" si="9"/>
        <v>Not valid</v>
      </c>
      <c r="J53" s="171" t="str">
        <f t="shared" si="10"/>
        <v>Analyse répétée de l’échantillon</v>
      </c>
      <c r="K53" s="20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25">
      <c r="B54" s="170">
        <v>13</v>
      </c>
      <c r="C54" s="173" t="s">
        <v>29</v>
      </c>
      <c r="D54" s="174" t="e">
        <f t="shared" ref="D54:D59" si="13">IF($E$31="YES",G15,"Invalid test")</f>
        <v>#DIV/0!</v>
      </c>
      <c r="E54" s="174" t="e">
        <f t="shared" si="7"/>
        <v>#DIV/0!</v>
      </c>
      <c r="F54" s="70" t="s">
        <v>29</v>
      </c>
      <c r="G54" s="174" t="e">
        <f t="shared" ref="G54:G59" si="14">IF($E$31="YES",H15,"Invalid test")</f>
        <v>#DIV/0!</v>
      </c>
      <c r="H54" s="213" t="e">
        <f t="shared" si="8"/>
        <v>#DIV/0!</v>
      </c>
      <c r="I54" s="175" t="str">
        <f t="shared" si="9"/>
        <v>Not valid</v>
      </c>
      <c r="J54" s="171" t="str">
        <f t="shared" si="10"/>
        <v>Analyse répétée de l’échantillon</v>
      </c>
      <c r="K54" s="20"/>
      <c r="L54" s="15"/>
      <c r="M54" s="15"/>
      <c r="N54" s="15"/>
      <c r="O54" s="15"/>
      <c r="P54" s="15"/>
      <c r="Q54" s="15"/>
      <c r="R54" s="15"/>
      <c r="S54" s="15"/>
      <c r="T54" s="15"/>
    </row>
    <row r="55" spans="2:20" x14ac:dyDescent="0.25">
      <c r="B55" s="170">
        <v>14</v>
      </c>
      <c r="C55" s="173" t="s">
        <v>30</v>
      </c>
      <c r="D55" s="174" t="e">
        <f t="shared" si="13"/>
        <v>#DIV/0!</v>
      </c>
      <c r="E55" s="174" t="e">
        <f t="shared" si="7"/>
        <v>#DIV/0!</v>
      </c>
      <c r="F55" s="70" t="s">
        <v>30</v>
      </c>
      <c r="G55" s="174" t="e">
        <f t="shared" si="14"/>
        <v>#DIV/0!</v>
      </c>
      <c r="H55" s="213" t="e">
        <f t="shared" si="8"/>
        <v>#DIV/0!</v>
      </c>
      <c r="I55" s="175" t="str">
        <f t="shared" si="9"/>
        <v>Not valid</v>
      </c>
      <c r="J55" s="171" t="str">
        <f t="shared" si="10"/>
        <v>Analyse répétée de l’échantillon</v>
      </c>
      <c r="K55" s="20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25">
      <c r="B56" s="170">
        <v>15</v>
      </c>
      <c r="C56" s="173" t="s">
        <v>31</v>
      </c>
      <c r="D56" s="174" t="e">
        <f t="shared" si="13"/>
        <v>#DIV/0!</v>
      </c>
      <c r="E56" s="174" t="e">
        <f t="shared" si="7"/>
        <v>#DIV/0!</v>
      </c>
      <c r="F56" s="70" t="s">
        <v>31</v>
      </c>
      <c r="G56" s="174" t="e">
        <f t="shared" si="14"/>
        <v>#DIV/0!</v>
      </c>
      <c r="H56" s="213" t="e">
        <f t="shared" si="8"/>
        <v>#DIV/0!</v>
      </c>
      <c r="I56" s="175" t="str">
        <f t="shared" si="9"/>
        <v>Not valid</v>
      </c>
      <c r="J56" s="171" t="str">
        <f t="shared" si="10"/>
        <v>Analyse répétée de l’échantillon</v>
      </c>
      <c r="K56" s="20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25">
      <c r="B57" s="170">
        <v>16</v>
      </c>
      <c r="C57" s="173" t="s">
        <v>32</v>
      </c>
      <c r="D57" s="174" t="e">
        <f t="shared" si="13"/>
        <v>#DIV/0!</v>
      </c>
      <c r="E57" s="174" t="e">
        <f t="shared" si="7"/>
        <v>#DIV/0!</v>
      </c>
      <c r="F57" s="70" t="s">
        <v>32</v>
      </c>
      <c r="G57" s="174" t="e">
        <f t="shared" si="14"/>
        <v>#DIV/0!</v>
      </c>
      <c r="H57" s="213" t="e">
        <f t="shared" si="8"/>
        <v>#DIV/0!</v>
      </c>
      <c r="I57" s="175" t="str">
        <f t="shared" si="9"/>
        <v>Not valid</v>
      </c>
      <c r="J57" s="171" t="str">
        <f t="shared" si="10"/>
        <v>Analyse répétée de l’échantillon</v>
      </c>
      <c r="K57" s="20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25">
      <c r="B58" s="170">
        <v>17</v>
      </c>
      <c r="C58" s="173" t="s">
        <v>33</v>
      </c>
      <c r="D58" s="174" t="e">
        <f t="shared" si="13"/>
        <v>#DIV/0!</v>
      </c>
      <c r="E58" s="174" t="e">
        <f t="shared" si="7"/>
        <v>#DIV/0!</v>
      </c>
      <c r="F58" s="70" t="s">
        <v>33</v>
      </c>
      <c r="G58" s="174" t="e">
        <f t="shared" si="14"/>
        <v>#DIV/0!</v>
      </c>
      <c r="H58" s="213" t="e">
        <f t="shared" si="8"/>
        <v>#DIV/0!</v>
      </c>
      <c r="I58" s="175" t="str">
        <f t="shared" si="9"/>
        <v>Not valid</v>
      </c>
      <c r="J58" s="171" t="str">
        <f t="shared" si="10"/>
        <v>Analyse répétée de l’échantillon</v>
      </c>
      <c r="K58" s="20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25">
      <c r="B59" s="170">
        <v>18</v>
      </c>
      <c r="C59" s="173" t="s">
        <v>146</v>
      </c>
      <c r="D59" s="174" t="e">
        <f t="shared" si="13"/>
        <v>#DIV/0!</v>
      </c>
      <c r="E59" s="174" t="e">
        <f t="shared" si="7"/>
        <v>#DIV/0!</v>
      </c>
      <c r="F59" s="70" t="s">
        <v>146</v>
      </c>
      <c r="G59" s="174" t="e">
        <f t="shared" si="14"/>
        <v>#DIV/0!</v>
      </c>
      <c r="H59" s="213" t="e">
        <f t="shared" si="8"/>
        <v>#DIV/0!</v>
      </c>
      <c r="I59" s="175" t="str">
        <f t="shared" si="9"/>
        <v>Not valid</v>
      </c>
      <c r="J59" s="171" t="str">
        <f t="shared" si="10"/>
        <v>Analyse répétée de l’échantillon</v>
      </c>
      <c r="K59" s="20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25">
      <c r="B60" s="170">
        <v>19</v>
      </c>
      <c r="C60" s="173" t="s">
        <v>34</v>
      </c>
      <c r="D60" s="174" t="e">
        <f t="shared" ref="D60:D65" si="15">IF($E$31="YES",I15,"Invalid test")</f>
        <v>#DIV/0!</v>
      </c>
      <c r="E60" s="174" t="e">
        <f t="shared" si="7"/>
        <v>#DIV/0!</v>
      </c>
      <c r="F60" s="70" t="s">
        <v>34</v>
      </c>
      <c r="G60" s="174" t="e">
        <f t="shared" ref="G60:G65" si="16">IF($E$31="YES",J15,"Invalid test")</f>
        <v>#DIV/0!</v>
      </c>
      <c r="H60" s="213" t="e">
        <f t="shared" si="8"/>
        <v>#DIV/0!</v>
      </c>
      <c r="I60" s="175" t="str">
        <f t="shared" si="9"/>
        <v>Not valid</v>
      </c>
      <c r="J60" s="171" t="str">
        <f t="shared" si="10"/>
        <v>Analyse répétée de l’échantillon</v>
      </c>
      <c r="K60" s="20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25">
      <c r="B61" s="170">
        <v>20</v>
      </c>
      <c r="C61" s="173" t="s">
        <v>35</v>
      </c>
      <c r="D61" s="174" t="e">
        <f t="shared" si="15"/>
        <v>#DIV/0!</v>
      </c>
      <c r="E61" s="174" t="e">
        <f t="shared" si="7"/>
        <v>#DIV/0!</v>
      </c>
      <c r="F61" s="70" t="s">
        <v>35</v>
      </c>
      <c r="G61" s="174" t="e">
        <f t="shared" si="16"/>
        <v>#DIV/0!</v>
      </c>
      <c r="H61" s="213" t="e">
        <f t="shared" si="8"/>
        <v>#DIV/0!</v>
      </c>
      <c r="I61" s="175" t="str">
        <f t="shared" si="9"/>
        <v>Not valid</v>
      </c>
      <c r="J61" s="171" t="str">
        <f t="shared" si="10"/>
        <v>Analyse répétée de l’échantillon</v>
      </c>
      <c r="K61" s="20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25">
      <c r="B62" s="170">
        <v>21</v>
      </c>
      <c r="C62" s="173" t="s">
        <v>36</v>
      </c>
      <c r="D62" s="174" t="e">
        <f t="shared" si="15"/>
        <v>#DIV/0!</v>
      </c>
      <c r="E62" s="174" t="e">
        <f t="shared" si="7"/>
        <v>#DIV/0!</v>
      </c>
      <c r="F62" s="70" t="s">
        <v>36</v>
      </c>
      <c r="G62" s="174" t="e">
        <f t="shared" si="16"/>
        <v>#DIV/0!</v>
      </c>
      <c r="H62" s="213" t="e">
        <f t="shared" si="8"/>
        <v>#DIV/0!</v>
      </c>
      <c r="I62" s="175" t="str">
        <f t="shared" si="9"/>
        <v>Not valid</v>
      </c>
      <c r="J62" s="171" t="str">
        <f t="shared" si="10"/>
        <v>Analyse répétée de l’échantillon</v>
      </c>
      <c r="K62" s="20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25">
      <c r="B63" s="170">
        <v>22</v>
      </c>
      <c r="C63" s="173" t="s">
        <v>37</v>
      </c>
      <c r="D63" s="174" t="e">
        <f t="shared" si="15"/>
        <v>#DIV/0!</v>
      </c>
      <c r="E63" s="174" t="e">
        <f t="shared" si="7"/>
        <v>#DIV/0!</v>
      </c>
      <c r="F63" s="70" t="s">
        <v>37</v>
      </c>
      <c r="G63" s="174" t="e">
        <f t="shared" si="16"/>
        <v>#DIV/0!</v>
      </c>
      <c r="H63" s="213" t="e">
        <f t="shared" si="8"/>
        <v>#DIV/0!</v>
      </c>
      <c r="I63" s="175" t="str">
        <f t="shared" si="9"/>
        <v>Not valid</v>
      </c>
      <c r="J63" s="171" t="str">
        <f t="shared" si="10"/>
        <v>Analyse répétée de l’échantillon</v>
      </c>
      <c r="K63" s="20"/>
      <c r="L63" s="15"/>
      <c r="M63" s="15"/>
      <c r="N63" s="15"/>
      <c r="O63" s="15"/>
      <c r="P63" s="15"/>
      <c r="Q63" s="15"/>
      <c r="R63" s="15"/>
      <c r="S63" s="15"/>
      <c r="T63" s="15"/>
    </row>
    <row r="64" spans="2:20" x14ac:dyDescent="0.25">
      <c r="B64" s="170">
        <v>23</v>
      </c>
      <c r="C64" s="173" t="s">
        <v>38</v>
      </c>
      <c r="D64" s="174" t="e">
        <f t="shared" si="15"/>
        <v>#DIV/0!</v>
      </c>
      <c r="E64" s="174" t="e">
        <f t="shared" si="7"/>
        <v>#DIV/0!</v>
      </c>
      <c r="F64" s="70" t="s">
        <v>38</v>
      </c>
      <c r="G64" s="174" t="e">
        <f t="shared" si="16"/>
        <v>#DIV/0!</v>
      </c>
      <c r="H64" s="213" t="e">
        <f t="shared" si="8"/>
        <v>#DIV/0!</v>
      </c>
      <c r="I64" s="175" t="str">
        <f t="shared" si="9"/>
        <v>Not valid</v>
      </c>
      <c r="J64" s="171" t="str">
        <f t="shared" si="10"/>
        <v>Analyse répétée de l’échantillon</v>
      </c>
      <c r="K64" s="20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25">
      <c r="B65" s="170">
        <v>24</v>
      </c>
      <c r="C65" s="176" t="s">
        <v>147</v>
      </c>
      <c r="D65" s="177" t="e">
        <f t="shared" si="15"/>
        <v>#DIV/0!</v>
      </c>
      <c r="E65" s="177" t="e">
        <f t="shared" si="7"/>
        <v>#DIV/0!</v>
      </c>
      <c r="F65" s="178" t="s">
        <v>147</v>
      </c>
      <c r="G65" s="177" t="e">
        <f t="shared" si="16"/>
        <v>#DIV/0!</v>
      </c>
      <c r="H65" s="214" t="e">
        <f t="shared" si="8"/>
        <v>#DIV/0!</v>
      </c>
      <c r="I65" s="179" t="str">
        <f t="shared" si="9"/>
        <v>Not valid</v>
      </c>
      <c r="J65" s="172" t="str">
        <f t="shared" si="10"/>
        <v>Analyse répétée de l’échantillon</v>
      </c>
      <c r="K65" s="20"/>
      <c r="L65" s="15"/>
      <c r="M65" s="15"/>
      <c r="N65" s="15"/>
      <c r="O65" s="15"/>
      <c r="P65" s="15"/>
      <c r="Q65" s="15"/>
      <c r="R65" s="15"/>
      <c r="S65" s="15"/>
      <c r="T65" s="15"/>
    </row>
    <row r="66" spans="2:20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5" customHeight="1" x14ac:dyDescent="0.25">
      <c r="B69" s="248" t="s">
        <v>186</v>
      </c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15"/>
      <c r="N69" s="15"/>
      <c r="O69" s="15"/>
      <c r="P69" s="15"/>
      <c r="Q69" s="15"/>
      <c r="R69" s="15"/>
      <c r="S69" s="15"/>
      <c r="T69" s="15"/>
    </row>
    <row r="70" spans="2:20" x14ac:dyDescent="0.25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15"/>
      <c r="N70" s="15"/>
      <c r="O70" s="15"/>
      <c r="P70" s="15"/>
      <c r="Q70" s="15"/>
      <c r="R70" s="15"/>
      <c r="S70" s="15"/>
      <c r="T70" s="15"/>
    </row>
    <row r="71" spans="2:20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</sheetData>
  <sheetProtection algorithmName="SHA-512" hashValue="LOq7Sf/1sTdHGxzSp5HDMJLft/dS5mARHmeTd84q9RP0XNrP0YV1qz/oPFK2tQkd02J6HdatyV5PELn0yIWiJw==" saltValue="ApDW91W1g5A7PV9vb8OpLQ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disablePrompts="1"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9100-E83F-4435-8786-AA5A596C2690}">
  <dimension ref="A2:A41"/>
  <sheetViews>
    <sheetView workbookViewId="0">
      <selection activeCell="T24" sqref="T24"/>
    </sheetView>
  </sheetViews>
  <sheetFormatPr defaultRowHeight="15" x14ac:dyDescent="0.25"/>
  <cols>
    <col min="2" max="2" width="35.7109375" customWidth="1"/>
    <col min="3" max="3" width="9.5703125" customWidth="1"/>
    <col min="4" max="5" width="8" customWidth="1"/>
    <col min="6" max="6" width="7.42578125" customWidth="1"/>
    <col min="7" max="7" width="7" customWidth="1"/>
    <col min="8" max="8" width="7.5703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42578125" customWidth="1"/>
  </cols>
  <sheetData>
    <row r="2" ht="16.5" customHeight="1" x14ac:dyDescent="0.25"/>
    <row r="10" ht="18" customHeight="1" x14ac:dyDescent="0.25"/>
    <row r="21" ht="16.5" customHeight="1" x14ac:dyDescent="0.25"/>
    <row r="23" ht="26.25" customHeight="1" x14ac:dyDescent="0.25"/>
    <row r="26" ht="16.5" customHeight="1" x14ac:dyDescent="0.25"/>
    <row r="27" ht="16.5" customHeight="1" x14ac:dyDescent="0.25"/>
    <row r="28" ht="18" customHeight="1" x14ac:dyDescent="0.25"/>
    <row r="31" ht="18.75" customHeight="1" x14ac:dyDescent="0.25"/>
    <row r="33" ht="15.75" customHeight="1" x14ac:dyDescent="0.25"/>
    <row r="34" ht="21" customHeight="1" x14ac:dyDescent="0.25"/>
    <row r="35" ht="19.5" customHeight="1" x14ac:dyDescent="0.25"/>
    <row r="36" ht="18.75" customHeight="1" x14ac:dyDescent="0.25"/>
    <row r="37" ht="18.75" customHeight="1" x14ac:dyDescent="0.25"/>
    <row r="38" ht="18" customHeight="1" x14ac:dyDescent="0.25"/>
    <row r="40" ht="21.75" customHeight="1" x14ac:dyDescent="0.25"/>
    <row r="41" ht="30" customHeight="1" x14ac:dyDescent="0.25"/>
  </sheetData>
  <sheetProtection algorithmName="SHA-512" hashValue="EwJ+YWZ7BJwG0jtY8Ln2PsQQcNeSP6PTR1VOvMS7IyWfcvETZzcSddUhQPga8JA0E7fhdwyhJ/+cSENMWRYuew==" saltValue="9JBBN3qLb99JmCa4bbIBRg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5" customWidth="1"/>
    <col min="2" max="2" width="9.140625" style="15"/>
    <col min="3" max="3" width="18.28515625" style="15" customWidth="1"/>
    <col min="4" max="5" width="9.140625" style="15"/>
    <col min="6" max="6" width="27.28515625" style="15" customWidth="1"/>
    <col min="7" max="7" width="29.7109375" style="15" customWidth="1"/>
    <col min="8" max="8" width="23.7109375" style="15" customWidth="1"/>
    <col min="9" max="11" width="9.140625" style="15"/>
    <col min="12" max="12" width="26" style="15" customWidth="1"/>
    <col min="13" max="13" width="16" style="15" customWidth="1"/>
    <col min="14" max="16384" width="9.140625" style="15"/>
  </cols>
  <sheetData>
    <row r="1" spans="1:8" x14ac:dyDescent="0.25">
      <c r="A1" s="15" t="s">
        <v>41</v>
      </c>
      <c r="B1" s="15" t="s">
        <v>6</v>
      </c>
      <c r="C1" s="15" t="s">
        <v>45</v>
      </c>
      <c r="E1" s="15" t="s">
        <v>46</v>
      </c>
      <c r="F1" s="15" t="s">
        <v>50</v>
      </c>
      <c r="G1" s="15" t="s">
        <v>51</v>
      </c>
      <c r="H1" s="15" t="s">
        <v>74</v>
      </c>
    </row>
    <row r="2" spans="1:8" x14ac:dyDescent="0.25">
      <c r="A2" s="15" t="s">
        <v>16</v>
      </c>
      <c r="B2" s="15" t="e">
        <f>'YF MAC-HD'!K15</f>
        <v>#DIV/0!</v>
      </c>
      <c r="C2" s="15" t="e">
        <f>MAX(B2:B4)</f>
        <v>#DIV/0!</v>
      </c>
      <c r="D2" s="15" t="s">
        <v>47</v>
      </c>
      <c r="E2" s="15" t="e">
        <f>C2-C3</f>
        <v>#DIV/0!</v>
      </c>
      <c r="F2" s="15" t="e">
        <f>IF(E2&lt;0.3,(C2+C3)/2,0)</f>
        <v>#DIV/0!</v>
      </c>
      <c r="G2" s="15" t="e">
        <f>IF(AND(E2&lt;0.3,E3&lt;0.3),(B2+B3+B4)/3,0)</f>
        <v>#DIV/0!</v>
      </c>
      <c r="H2" s="15" t="e">
        <f>IF(G2&gt;0,G2,(MAX(F2:F3)))</f>
        <v>#DIV/0!</v>
      </c>
    </row>
    <row r="3" spans="1:8" x14ac:dyDescent="0.25">
      <c r="A3" s="15" t="s">
        <v>17</v>
      </c>
      <c r="B3" s="15" t="e">
        <f>'YF MAC-HD'!K16</f>
        <v>#DIV/0!</v>
      </c>
      <c r="C3" s="15" t="e">
        <f>MEDIAN(B2:B4)</f>
        <v>#DIV/0!</v>
      </c>
      <c r="D3" s="15" t="s">
        <v>48</v>
      </c>
      <c r="E3" s="15" t="e">
        <f>C3-C4</f>
        <v>#DIV/0!</v>
      </c>
      <c r="F3" s="15" t="e">
        <f>IF(E3&lt;0.3,(C3+C4)/2,0)</f>
        <v>#DIV/0!</v>
      </c>
    </row>
    <row r="4" spans="1:8" x14ac:dyDescent="0.25">
      <c r="A4" s="15" t="s">
        <v>137</v>
      </c>
      <c r="B4" s="15" t="e">
        <f>'YF MAC-HD'!K17</f>
        <v>#DIV/0!</v>
      </c>
      <c r="C4" s="15" t="e">
        <f>MIN(B2:B4)</f>
        <v>#DIV/0!</v>
      </c>
      <c r="D4" s="15" t="s">
        <v>49</v>
      </c>
    </row>
    <row r="5" spans="1:8" x14ac:dyDescent="0.25">
      <c r="A5" s="15" t="s">
        <v>7</v>
      </c>
      <c r="B5" s="15" t="s">
        <v>8</v>
      </c>
      <c r="F5" s="15" t="s">
        <v>52</v>
      </c>
      <c r="G5" s="15" t="e">
        <f>MIN(E2:E3)</f>
        <v>#DIV/0!</v>
      </c>
      <c r="H5" s="15" t="e">
        <f>IF(H2&gt;0,"Valid","Not valid")</f>
        <v>#DIV/0!</v>
      </c>
    </row>
    <row r="6" spans="1:8" x14ac:dyDescent="0.25">
      <c r="G6" s="15" t="e">
        <f>IF(G2&gt;0,G2,MAX(F2:F3))</f>
        <v>#DIV/0!</v>
      </c>
    </row>
    <row r="7" spans="1:8" x14ac:dyDescent="0.25">
      <c r="F7" s="15" t="s">
        <v>53</v>
      </c>
      <c r="G7" s="15" t="e">
        <f>IF(AND(ISNUMBER(G6),(G6&gt;0)),G6,"N/A")</f>
        <v>#DIV/0!</v>
      </c>
      <c r="H7" s="15" t="e">
        <f>IF(AND(ISNUMBER(G7),(G7&gt;=0.6)),"Valid","Not valid")</f>
        <v>#DIV/0!</v>
      </c>
    </row>
    <row r="8" spans="1:8" x14ac:dyDescent="0.25">
      <c r="F8" s="15" t="s">
        <v>70</v>
      </c>
      <c r="G8" s="15" t="str">
        <f>IF(ISNUMBER(G7),(ROUNDDOWN(G7,3)),"N/A")</f>
        <v>N/A</v>
      </c>
    </row>
    <row r="10" spans="1:8" x14ac:dyDescent="0.25">
      <c r="A10" s="15" t="s">
        <v>43</v>
      </c>
      <c r="B10" s="15" t="s">
        <v>6</v>
      </c>
      <c r="C10" s="15" t="s">
        <v>45</v>
      </c>
      <c r="E10" s="15" t="s">
        <v>46</v>
      </c>
      <c r="F10" s="15" t="s">
        <v>56</v>
      </c>
      <c r="G10" s="15" t="s">
        <v>51</v>
      </c>
      <c r="H10" s="15" t="s">
        <v>74</v>
      </c>
    </row>
    <row r="11" spans="1:8" x14ac:dyDescent="0.25">
      <c r="A11" s="15" t="s">
        <v>138</v>
      </c>
      <c r="B11" s="15" t="e">
        <f>'YF MAC-HD'!K18</f>
        <v>#DIV/0!</v>
      </c>
      <c r="C11" s="15" t="e">
        <f>MAX(B11:B13)</f>
        <v>#DIV/0!</v>
      </c>
      <c r="D11" s="15" t="s">
        <v>47</v>
      </c>
      <c r="E11" s="15" t="e">
        <f>C11-C12</f>
        <v>#DIV/0!</v>
      </c>
      <c r="F11" s="15" t="e">
        <f>IF(E11&lt;0.025,(C11+C12)/2,0)</f>
        <v>#DIV/0!</v>
      </c>
      <c r="G11" s="15" t="e">
        <f>IF(AND(E11&lt;0.025,E12&lt;0.025),(B11+B12+B13)/3,0)</f>
        <v>#DIV/0!</v>
      </c>
      <c r="H11" s="15" t="e">
        <f>IF(G11&gt;0,G11,(MAX(F11:F12)))</f>
        <v>#DIV/0!</v>
      </c>
    </row>
    <row r="12" spans="1:8" x14ac:dyDescent="0.25">
      <c r="A12" s="15" t="s">
        <v>139</v>
      </c>
      <c r="B12" s="15" t="e">
        <f>'YF MAC-HD'!K19</f>
        <v>#DIV/0!</v>
      </c>
      <c r="C12" s="15" t="e">
        <f>MEDIAN(B11:B13)</f>
        <v>#DIV/0!</v>
      </c>
      <c r="D12" s="15" t="s">
        <v>48</v>
      </c>
      <c r="E12" s="15" t="e">
        <f>C12-C13</f>
        <v>#DIV/0!</v>
      </c>
      <c r="F12" s="15" t="e">
        <f>IF(E12&lt;0.025,(C12+C13)/2,0)</f>
        <v>#DIV/0!</v>
      </c>
    </row>
    <row r="13" spans="1:8" x14ac:dyDescent="0.25">
      <c r="A13" s="15" t="s">
        <v>140</v>
      </c>
      <c r="B13" s="15" t="e">
        <f>'YF MAC-HD'!K20</f>
        <v>#DIV/0!</v>
      </c>
      <c r="C13" s="15" t="e">
        <f>MIN(B11:B13)</f>
        <v>#DIV/0!</v>
      </c>
      <c r="D13" s="15" t="s">
        <v>49</v>
      </c>
    </row>
    <row r="14" spans="1:8" x14ac:dyDescent="0.25">
      <c r="A14" s="15" t="s">
        <v>7</v>
      </c>
      <c r="B14" s="15" t="s">
        <v>8</v>
      </c>
      <c r="F14" s="15" t="s">
        <v>57</v>
      </c>
      <c r="G14" s="15" t="e">
        <f>MIN(E11:E12)</f>
        <v>#DIV/0!</v>
      </c>
      <c r="H14" s="15" t="e">
        <f>IF(H11&gt;0,"Valid","&gt;NCVA-VL")</f>
        <v>#DIV/0!</v>
      </c>
    </row>
    <row r="15" spans="1:8" x14ac:dyDescent="0.25">
      <c r="G15" s="15" t="e">
        <f>IF(G11&gt;0,G11,MAX(F11:F12))</f>
        <v>#DIV/0!</v>
      </c>
    </row>
    <row r="16" spans="1:8" x14ac:dyDescent="0.25">
      <c r="F16" s="15" t="s">
        <v>73</v>
      </c>
      <c r="G16" s="15" t="e">
        <f>IF(G15=0,"N/A",G15)</f>
        <v>#DIV/0!</v>
      </c>
      <c r="H16" s="15" t="e">
        <f>IF(AND(ISNUMBER(G16),(G16&lt;0.2)),"Valid","Not Valid")</f>
        <v>#DIV/0!</v>
      </c>
    </row>
    <row r="17" spans="1:9" x14ac:dyDescent="0.25">
      <c r="F17" s="15" t="s">
        <v>58</v>
      </c>
      <c r="G17" s="15" t="e">
        <f>IF(G15&gt;=0.05,G15,0.05)</f>
        <v>#DIV/0!</v>
      </c>
      <c r="H17" s="15" t="e">
        <f>IF(G16=G17,"Valid",H16)</f>
        <v>#DIV/0!</v>
      </c>
    </row>
    <row r="18" spans="1:9" x14ac:dyDescent="0.25">
      <c r="F18" s="15" t="s">
        <v>67</v>
      </c>
      <c r="G18" s="15" t="e">
        <f>IF(G16="N/A","N/A",G17)</f>
        <v>#DIV/0!</v>
      </c>
    </row>
    <row r="20" spans="1:9" x14ac:dyDescent="0.25">
      <c r="A20" s="15" t="s">
        <v>61</v>
      </c>
      <c r="B20" s="15" t="s">
        <v>6</v>
      </c>
      <c r="C20" s="15" t="s">
        <v>45</v>
      </c>
      <c r="E20" s="15" t="s">
        <v>46</v>
      </c>
      <c r="F20" s="15" t="s">
        <v>50</v>
      </c>
      <c r="G20" s="15" t="s">
        <v>51</v>
      </c>
      <c r="H20" s="15" t="s">
        <v>74</v>
      </c>
      <c r="I20" s="15" t="s">
        <v>68</v>
      </c>
    </row>
    <row r="21" spans="1:9" x14ac:dyDescent="0.25">
      <c r="A21" s="15" t="s">
        <v>141</v>
      </c>
      <c r="B21" s="15" t="e">
        <f>'YF MAC-HD'!L15</f>
        <v>#DIV/0!</v>
      </c>
      <c r="C21" s="15" t="e">
        <f>MAX(B21:B23)</f>
        <v>#DIV/0!</v>
      </c>
      <c r="D21" s="15" t="s">
        <v>47</v>
      </c>
      <c r="E21" s="15" t="e">
        <f>C21-C22</f>
        <v>#DIV/0!</v>
      </c>
      <c r="F21" s="15" t="e">
        <f>IF(E21&lt;0.3,AVERAGE(C21:C22),0)</f>
        <v>#DIV/0!</v>
      </c>
      <c r="G21" s="15" t="e">
        <f>IF(AND(E21:E22&lt;0.3),AVERAGE(B21:B23),0)</f>
        <v>#DIV/0!</v>
      </c>
      <c r="H21" s="15" t="e">
        <f>IF(G21&gt;0,G21,(MAX(F21:F22)))</f>
        <v>#DIV/0!</v>
      </c>
      <c r="I21" s="15" t="e">
        <f>IF(AND(F21,F22),0,(B21+B22+B23)/3)</f>
        <v>#DIV/0!</v>
      </c>
    </row>
    <row r="22" spans="1:9" x14ac:dyDescent="0.25">
      <c r="A22" s="15" t="s">
        <v>142</v>
      </c>
      <c r="B22" s="15" t="e">
        <f>'YF MAC-HD'!L16</f>
        <v>#DIV/0!</v>
      </c>
      <c r="C22" s="15" t="e">
        <f>MEDIAN(B21:B23)</f>
        <v>#DIV/0!</v>
      </c>
      <c r="D22" s="15" t="s">
        <v>48</v>
      </c>
      <c r="E22" s="15" t="e">
        <f>C22-C23</f>
        <v>#DIV/0!</v>
      </c>
      <c r="F22" s="15" t="e">
        <f>IF(E22&lt;0.3,AVERAGE(C22:C23),0)</f>
        <v>#DIV/0!</v>
      </c>
    </row>
    <row r="23" spans="1:9" x14ac:dyDescent="0.25">
      <c r="A23" s="15" t="s">
        <v>143</v>
      </c>
      <c r="B23" s="15" t="e">
        <f>'YF MAC-HD'!L17</f>
        <v>#DIV/0!</v>
      </c>
      <c r="C23" s="15" t="e">
        <f>MIN(B21:B23)</f>
        <v>#DIV/0!</v>
      </c>
      <c r="D23" s="15" t="s">
        <v>49</v>
      </c>
    </row>
    <row r="24" spans="1:9" x14ac:dyDescent="0.25">
      <c r="A24" s="15" t="s">
        <v>7</v>
      </c>
      <c r="B24" s="15" t="s">
        <v>8</v>
      </c>
      <c r="F24" s="15" t="s">
        <v>60</v>
      </c>
      <c r="G24" s="15" t="e">
        <f>MIN(E21:E22)</f>
        <v>#DIV/0!</v>
      </c>
    </row>
    <row r="25" spans="1:9" x14ac:dyDescent="0.25">
      <c r="G25" s="15" t="e">
        <f>IF(G21&gt;0,G21,(MAX(F21:F22)))</f>
        <v>#DIV/0!</v>
      </c>
    </row>
    <row r="26" spans="1:9" x14ac:dyDescent="0.25">
      <c r="G26" s="15" t="e">
        <f>IF(G21&gt;0,G21,H21)</f>
        <v>#DIV/0!</v>
      </c>
    </row>
    <row r="27" spans="1:9" x14ac:dyDescent="0.25">
      <c r="F27" s="15" t="s">
        <v>59</v>
      </c>
      <c r="G27" s="15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topLeftCell="A34" zoomScaleNormal="100" workbookViewId="0">
      <selection activeCell="O54" sqref="O54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4.5703125" style="2" customWidth="1"/>
    <col min="11" max="11" width="11.140625" style="2" customWidth="1"/>
    <col min="12" max="12" width="30.57031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03">
        <v>1</v>
      </c>
      <c r="C1" s="203">
        <v>2</v>
      </c>
      <c r="D1" s="203">
        <v>3</v>
      </c>
      <c r="E1" s="203">
        <v>4</v>
      </c>
      <c r="F1" s="203">
        <v>5</v>
      </c>
      <c r="G1" s="203">
        <v>6</v>
      </c>
      <c r="H1" s="203">
        <v>7</v>
      </c>
      <c r="I1" s="203">
        <v>8</v>
      </c>
      <c r="J1" s="203">
        <v>9</v>
      </c>
      <c r="K1" s="203">
        <v>10</v>
      </c>
      <c r="L1" s="203">
        <v>11</v>
      </c>
      <c r="M1" s="203">
        <v>12</v>
      </c>
    </row>
    <row r="2" spans="1:20" ht="15.75" thickTop="1" x14ac:dyDescent="0.25">
      <c r="A2" s="204" t="s">
        <v>129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246" t="s">
        <v>161</v>
      </c>
      <c r="O2" s="247"/>
      <c r="P2" s="247"/>
      <c r="Q2" s="1"/>
      <c r="R2" s="1"/>
      <c r="S2" s="1"/>
      <c r="T2" s="1"/>
    </row>
    <row r="3" spans="1:20" x14ac:dyDescent="0.25">
      <c r="A3" s="204" t="s">
        <v>130</v>
      </c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209" t="s">
        <v>162</v>
      </c>
      <c r="O3" s="209"/>
      <c r="P3" s="209"/>
      <c r="Q3" s="1"/>
      <c r="R3" s="1"/>
      <c r="S3" s="1"/>
      <c r="T3" s="1"/>
    </row>
    <row r="4" spans="1:20" x14ac:dyDescent="0.25">
      <c r="A4" s="204" t="s">
        <v>131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246" t="s">
        <v>163</v>
      </c>
      <c r="O4" s="247"/>
      <c r="P4" s="247"/>
      <c r="Q4" s="1"/>
      <c r="R4" s="1"/>
      <c r="S4" s="1"/>
      <c r="T4" s="1"/>
    </row>
    <row r="5" spans="1:20" x14ac:dyDescent="0.25">
      <c r="A5" s="204" t="s">
        <v>132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1"/>
      <c r="N5" s="246" t="s">
        <v>164</v>
      </c>
      <c r="O5" s="247"/>
      <c r="P5" s="247"/>
      <c r="Q5" s="1"/>
      <c r="R5" s="1"/>
      <c r="S5" s="1"/>
      <c r="T5" s="1"/>
    </row>
    <row r="6" spans="1:20" x14ac:dyDescent="0.25">
      <c r="A6" s="204" t="s">
        <v>133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205" t="s">
        <v>165</v>
      </c>
      <c r="O6" s="206"/>
      <c r="P6" s="206"/>
      <c r="Q6" s="1"/>
      <c r="R6" s="1"/>
      <c r="S6" s="1"/>
      <c r="T6" s="1"/>
    </row>
    <row r="7" spans="1:20" x14ac:dyDescent="0.25">
      <c r="A7" s="204" t="s">
        <v>134</v>
      </c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246" t="s">
        <v>166</v>
      </c>
      <c r="O7" s="247"/>
      <c r="P7" s="247"/>
      <c r="Q7" s="1"/>
      <c r="R7" s="1"/>
      <c r="S7" s="1"/>
      <c r="T7" s="1"/>
    </row>
    <row r="8" spans="1:20" x14ac:dyDescent="0.25">
      <c r="A8" s="204" t="s">
        <v>135</v>
      </c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209"/>
      <c r="O8" s="209"/>
      <c r="P8" s="209"/>
      <c r="Q8" s="1"/>
      <c r="R8" s="1"/>
      <c r="S8" s="1"/>
      <c r="T8" s="1"/>
    </row>
    <row r="9" spans="1:20" ht="15.75" thickBot="1" x14ac:dyDescent="0.3">
      <c r="A9" s="204" t="s">
        <v>136</v>
      </c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209"/>
      <c r="O9" s="209"/>
      <c r="P9" s="209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4" t="s">
        <v>178</v>
      </c>
      <c r="C11" s="134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13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6" t="s">
        <v>157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2"/>
      <c r="O14" s="1"/>
      <c r="P14" s="1"/>
      <c r="Q14" s="1"/>
      <c r="R14" s="1"/>
      <c r="S14" s="1"/>
      <c r="T14" s="1"/>
    </row>
    <row r="15" spans="1:20" x14ac:dyDescent="0.25">
      <c r="B15" s="212" t="s">
        <v>157</v>
      </c>
      <c r="C15" s="195" t="e">
        <f t="shared" ref="C15:L20" si="0">C3-$C$11</f>
        <v>#DIV/0!</v>
      </c>
      <c r="D15" s="195" t="e">
        <f t="shared" si="0"/>
        <v>#DIV/0!</v>
      </c>
      <c r="E15" s="195" t="e">
        <f t="shared" si="0"/>
        <v>#DIV/0!</v>
      </c>
      <c r="F15" s="195" t="e">
        <f t="shared" si="0"/>
        <v>#DIV/0!</v>
      </c>
      <c r="G15" s="195" t="e">
        <f t="shared" si="0"/>
        <v>#DIV/0!</v>
      </c>
      <c r="H15" s="195" t="e">
        <f t="shared" si="0"/>
        <v>#DIV/0!</v>
      </c>
      <c r="I15" s="195" t="e">
        <f t="shared" si="0"/>
        <v>#DIV/0!</v>
      </c>
      <c r="J15" s="195" t="e">
        <f t="shared" si="0"/>
        <v>#DIV/0!</v>
      </c>
      <c r="K15" s="183" t="e">
        <f t="shared" si="0"/>
        <v>#DIV/0!</v>
      </c>
      <c r="L15" s="184" t="e">
        <f t="shared" si="0"/>
        <v>#DIV/0!</v>
      </c>
      <c r="M15" s="13"/>
      <c r="N15" s="42"/>
      <c r="O15" s="1"/>
      <c r="P15" s="1"/>
      <c r="Q15" s="7"/>
      <c r="R15" s="1"/>
      <c r="S15" s="1"/>
      <c r="T15" s="1"/>
    </row>
    <row r="16" spans="1:20" x14ac:dyDescent="0.25">
      <c r="B16" s="212" t="s">
        <v>157</v>
      </c>
      <c r="C16" s="195" t="e">
        <f t="shared" si="0"/>
        <v>#DIV/0!</v>
      </c>
      <c r="D16" s="195" t="e">
        <f>D4-$C$11</f>
        <v>#DIV/0!</v>
      </c>
      <c r="E16" s="195" t="e">
        <f t="shared" si="0"/>
        <v>#DIV/0!</v>
      </c>
      <c r="F16" s="195" t="e">
        <f t="shared" si="0"/>
        <v>#DIV/0!</v>
      </c>
      <c r="G16" s="195" t="e">
        <f t="shared" si="0"/>
        <v>#DIV/0!</v>
      </c>
      <c r="H16" s="195" t="e">
        <f t="shared" si="0"/>
        <v>#DIV/0!</v>
      </c>
      <c r="I16" s="195" t="e">
        <f t="shared" si="0"/>
        <v>#DIV/0!</v>
      </c>
      <c r="J16" s="195" t="e">
        <f t="shared" si="0"/>
        <v>#DIV/0!</v>
      </c>
      <c r="K16" s="183" t="e">
        <f t="shared" ref="K16" si="1">K4-$C$11</f>
        <v>#DIV/0!</v>
      </c>
      <c r="L16" s="184" t="e">
        <f t="shared" si="0"/>
        <v>#DIV/0!</v>
      </c>
      <c r="M16" s="13"/>
      <c r="N16" s="42"/>
      <c r="O16" s="1"/>
      <c r="P16" s="1"/>
      <c r="Q16" s="1"/>
      <c r="R16" s="1"/>
      <c r="S16" s="1"/>
      <c r="T16" s="1"/>
    </row>
    <row r="17" spans="2:20" x14ac:dyDescent="0.25">
      <c r="B17" s="212" t="s">
        <v>157</v>
      </c>
      <c r="C17" s="195" t="e">
        <f t="shared" si="0"/>
        <v>#DIV/0!</v>
      </c>
      <c r="D17" s="195" t="e">
        <f>D5-$C$11</f>
        <v>#DIV/0!</v>
      </c>
      <c r="E17" s="195" t="e">
        <f t="shared" si="0"/>
        <v>#DIV/0!</v>
      </c>
      <c r="F17" s="195" t="e">
        <f t="shared" si="0"/>
        <v>#DIV/0!</v>
      </c>
      <c r="G17" s="195" t="e">
        <f t="shared" si="0"/>
        <v>#DIV/0!</v>
      </c>
      <c r="H17" s="195" t="e">
        <f t="shared" si="0"/>
        <v>#DIV/0!</v>
      </c>
      <c r="I17" s="195" t="e">
        <f t="shared" si="0"/>
        <v>#DIV/0!</v>
      </c>
      <c r="J17" s="195" t="e">
        <f t="shared" si="0"/>
        <v>#DIV/0!</v>
      </c>
      <c r="K17" s="183" t="e">
        <f t="shared" ref="K17" si="2">K5-$C$11</f>
        <v>#DIV/0!</v>
      </c>
      <c r="L17" s="184" t="e">
        <f t="shared" si="0"/>
        <v>#DIV/0!</v>
      </c>
      <c r="M17" s="13"/>
      <c r="N17" s="42"/>
      <c r="O17" s="1"/>
      <c r="P17" s="1"/>
      <c r="Q17" s="1"/>
      <c r="R17" s="1"/>
      <c r="S17" s="1"/>
      <c r="T17" s="1"/>
    </row>
    <row r="18" spans="2:20" x14ac:dyDescent="0.25">
      <c r="B18" s="9"/>
      <c r="C18" s="195" t="e">
        <f t="shared" si="0"/>
        <v>#DIV/0!</v>
      </c>
      <c r="D18" s="195" t="e">
        <f t="shared" si="0"/>
        <v>#DIV/0!</v>
      </c>
      <c r="E18" s="195" t="e">
        <f t="shared" si="0"/>
        <v>#DIV/0!</v>
      </c>
      <c r="F18" s="195" t="e">
        <f t="shared" si="0"/>
        <v>#DIV/0!</v>
      </c>
      <c r="G18" s="195" t="e">
        <f t="shared" si="0"/>
        <v>#DIV/0!</v>
      </c>
      <c r="H18" s="195" t="e">
        <f t="shared" si="0"/>
        <v>#DIV/0!</v>
      </c>
      <c r="I18" s="195" t="e">
        <f t="shared" si="0"/>
        <v>#DIV/0!</v>
      </c>
      <c r="J18" s="195" t="e">
        <f t="shared" si="0"/>
        <v>#DIV/0!</v>
      </c>
      <c r="K18" s="185" t="e">
        <f t="shared" ref="K18" si="3">K6-$C$11</f>
        <v>#DIV/0!</v>
      </c>
      <c r="L18" s="195" t="e">
        <f t="shared" si="0"/>
        <v>#DIV/0!</v>
      </c>
      <c r="M18" s="13"/>
      <c r="N18" s="42"/>
      <c r="O18" s="1"/>
      <c r="P18" s="1"/>
      <c r="Q18" s="1"/>
      <c r="R18" s="1"/>
      <c r="S18" s="1"/>
      <c r="T18" s="1"/>
    </row>
    <row r="19" spans="2:20" x14ac:dyDescent="0.25">
      <c r="B19" s="9"/>
      <c r="C19" s="195" t="e">
        <f t="shared" si="0"/>
        <v>#DIV/0!</v>
      </c>
      <c r="D19" s="195" t="e">
        <f t="shared" si="0"/>
        <v>#DIV/0!</v>
      </c>
      <c r="E19" s="195" t="e">
        <f t="shared" si="0"/>
        <v>#DIV/0!</v>
      </c>
      <c r="F19" s="195" t="e">
        <f t="shared" si="0"/>
        <v>#DIV/0!</v>
      </c>
      <c r="G19" s="195" t="e">
        <f t="shared" si="0"/>
        <v>#DIV/0!</v>
      </c>
      <c r="H19" s="195" t="e">
        <f t="shared" si="0"/>
        <v>#DIV/0!</v>
      </c>
      <c r="I19" s="195" t="e">
        <f t="shared" si="0"/>
        <v>#DIV/0!</v>
      </c>
      <c r="J19" s="195" t="e">
        <f t="shared" si="0"/>
        <v>#DIV/0!</v>
      </c>
      <c r="K19" s="185" t="e">
        <f t="shared" ref="K19" si="4">K7-$C$11</f>
        <v>#DIV/0!</v>
      </c>
      <c r="L19" s="195" t="e">
        <f t="shared" si="0"/>
        <v>#DIV/0!</v>
      </c>
      <c r="M19" s="13"/>
      <c r="N19" s="42"/>
      <c r="O19" s="1"/>
      <c r="P19" s="1"/>
      <c r="Q19" s="1"/>
      <c r="R19" s="1"/>
      <c r="S19" s="1"/>
      <c r="T19" s="1"/>
    </row>
    <row r="20" spans="2:20" x14ac:dyDescent="0.25">
      <c r="B20" s="9"/>
      <c r="C20" s="195" t="e">
        <f t="shared" si="0"/>
        <v>#DIV/0!</v>
      </c>
      <c r="D20" s="195" t="e">
        <f t="shared" si="0"/>
        <v>#DIV/0!</v>
      </c>
      <c r="E20" s="195" t="e">
        <f t="shared" si="0"/>
        <v>#DIV/0!</v>
      </c>
      <c r="F20" s="195" t="e">
        <f t="shared" si="0"/>
        <v>#DIV/0!</v>
      </c>
      <c r="G20" s="195" t="e">
        <f t="shared" si="0"/>
        <v>#DIV/0!</v>
      </c>
      <c r="H20" s="195" t="e">
        <f t="shared" si="0"/>
        <v>#DIV/0!</v>
      </c>
      <c r="I20" s="195" t="e">
        <f t="shared" si="0"/>
        <v>#DIV/0!</v>
      </c>
      <c r="J20" s="195" t="e">
        <f t="shared" si="0"/>
        <v>#DIV/0!</v>
      </c>
      <c r="K20" s="185" t="e">
        <f t="shared" ref="K20" si="5">K8-$C$11</f>
        <v>#DIV/0!</v>
      </c>
      <c r="L20" s="195" t="e">
        <f t="shared" si="0"/>
        <v>#DIV/0!</v>
      </c>
      <c r="M20" s="13"/>
      <c r="N20" s="42"/>
      <c r="O20" s="1"/>
      <c r="P20" s="1"/>
      <c r="Q20" s="1"/>
      <c r="R20" s="1"/>
      <c r="S20" s="1"/>
      <c r="T20" s="1"/>
    </row>
    <row r="21" spans="2:20" ht="15.75" thickBo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2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3" t="s">
        <v>201</v>
      </c>
      <c r="C23" s="32" t="s">
        <v>179</v>
      </c>
      <c r="D23" s="32" t="s">
        <v>180</v>
      </c>
      <c r="E23" s="33" t="s">
        <v>181</v>
      </c>
      <c r="F23" s="1"/>
      <c r="G23" s="1"/>
      <c r="H23" s="1"/>
      <c r="I23" s="1"/>
      <c r="J23" s="71" t="s">
        <v>202</v>
      </c>
      <c r="K23" s="15"/>
      <c r="L23" s="15"/>
      <c r="M23" s="15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4" t="s">
        <v>194</v>
      </c>
      <c r="C24" s="139" t="e">
        <f>'YF MAC-ON control check'!G5</f>
        <v>#DIV/0!</v>
      </c>
      <c r="D24" s="45" t="s">
        <v>42</v>
      </c>
      <c r="E24" s="46" t="e">
        <f>'YF MAC-ON control check'!H5</f>
        <v>#DIV/0!</v>
      </c>
      <c r="F24" s="1"/>
      <c r="G24" s="74"/>
      <c r="H24" s="75"/>
      <c r="I24" s="75"/>
      <c r="J24" s="70"/>
      <c r="K24" s="70"/>
      <c r="L24" s="70"/>
      <c r="M24" s="70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4" t="s">
        <v>1</v>
      </c>
      <c r="C25" s="140" t="str">
        <f>'YF MAC-ON control check'!G8</f>
        <v>N/A</v>
      </c>
      <c r="D25" s="73" t="s">
        <v>39</v>
      </c>
      <c r="E25" s="47" t="e">
        <f>'YF MAC-ON control check'!H7</f>
        <v>#DIV/0!</v>
      </c>
      <c r="F25" s="1"/>
      <c r="G25" s="75"/>
      <c r="H25" s="75"/>
      <c r="I25" s="75"/>
      <c r="J25" s="72" t="s">
        <v>196</v>
      </c>
      <c r="K25" s="252" t="s">
        <v>203</v>
      </c>
      <c r="L25" s="253"/>
      <c r="M25" s="254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4" t="s">
        <v>195</v>
      </c>
      <c r="C26" s="137" t="e">
        <f>'YF MAC-ON control check'!G14</f>
        <v>#DIV/0!</v>
      </c>
      <c r="D26" s="73" t="s">
        <v>44</v>
      </c>
      <c r="E26" s="47" t="e">
        <f>'YF MAC-ON control check'!H17</f>
        <v>#DIV/0!</v>
      </c>
      <c r="F26" s="1"/>
      <c r="G26" s="75"/>
      <c r="H26" s="75"/>
      <c r="I26" s="75"/>
      <c r="J26" s="72" t="s">
        <v>79</v>
      </c>
      <c r="K26" s="255" t="s">
        <v>204</v>
      </c>
      <c r="L26" s="256"/>
      <c r="M26" s="257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4" t="s">
        <v>5</v>
      </c>
      <c r="C27" s="141" t="e">
        <f>'YF MAC-ON control check'!G18</f>
        <v>#DIV/0!</v>
      </c>
      <c r="D27" s="73" t="s">
        <v>40</v>
      </c>
      <c r="E27" s="47" t="e">
        <f>'YF MAC-ON control check'!H16</f>
        <v>#DIV/0!</v>
      </c>
      <c r="F27" s="1"/>
      <c r="G27" s="75"/>
      <c r="H27" s="75"/>
      <c r="I27" s="75"/>
      <c r="J27" s="72" t="s">
        <v>197</v>
      </c>
      <c r="K27" s="252" t="s">
        <v>205</v>
      </c>
      <c r="L27" s="253"/>
      <c r="M27" s="254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4" t="s">
        <v>2</v>
      </c>
      <c r="C28" s="142" t="e">
        <f>'YF MAC-ON control check'!G27</f>
        <v>#DIV/0!</v>
      </c>
      <c r="D28" s="48"/>
      <c r="E28" s="49"/>
      <c r="F28" s="1"/>
      <c r="G28" s="75"/>
      <c r="H28" s="75"/>
      <c r="I28" s="75"/>
      <c r="J28" s="72" t="s">
        <v>198</v>
      </c>
      <c r="K28" s="255" t="s">
        <v>206</v>
      </c>
      <c r="L28" s="256"/>
      <c r="M28" s="257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4" t="s">
        <v>4</v>
      </c>
      <c r="C29" s="137" t="str">
        <f>IF(AND(ISNUMBER(C25),ISNUMBER(C28),ISNUMBER(C25/C28)),C25/C28,"N/A")</f>
        <v>N/A</v>
      </c>
      <c r="D29" s="50" t="s">
        <v>15</v>
      </c>
      <c r="E29" s="47" t="str">
        <f>IF(AND(ISNUMBER(C29),(C29&gt;=2)),"Valid", "Not valid")</f>
        <v>Not valid</v>
      </c>
      <c r="F29" s="1"/>
      <c r="G29" s="75"/>
      <c r="H29" s="75"/>
      <c r="I29" s="75"/>
      <c r="J29" s="72" t="s">
        <v>199</v>
      </c>
      <c r="K29" s="252" t="s">
        <v>207</v>
      </c>
      <c r="L29" s="253"/>
      <c r="M29" s="254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4" t="s">
        <v>193</v>
      </c>
      <c r="C30" s="137" t="e">
        <f>IF(OR(C25="N/A",C27="N/A"),"N/A",C25/C27)</f>
        <v>#DIV/0!</v>
      </c>
      <c r="D30" s="50" t="s">
        <v>62</v>
      </c>
      <c r="E30" s="47" t="e">
        <f>IF(AND(C30&lt;&gt;"N/A",C30&gt;=3),"Valid","Not Valid")</f>
        <v>#DIV/0!</v>
      </c>
      <c r="F30" s="1"/>
      <c r="G30" s="75"/>
      <c r="H30" s="75"/>
      <c r="I30" s="75"/>
      <c r="J30" s="72" t="s">
        <v>200</v>
      </c>
      <c r="K30" s="249" t="s">
        <v>208</v>
      </c>
      <c r="L30" s="250"/>
      <c r="M30" s="251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1" t="s">
        <v>191</v>
      </c>
      <c r="C31" s="39"/>
      <c r="D31" s="39"/>
      <c r="E31" s="52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89"/>
      <c r="C32" s="73"/>
      <c r="D32" s="73"/>
      <c r="E32" s="7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2" t="s">
        <v>182</v>
      </c>
      <c r="C33" s="88" t="s">
        <v>0</v>
      </c>
      <c r="D33" s="33" t="s">
        <v>3</v>
      </c>
      <c r="E33" s="7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79" t="s">
        <v>77</v>
      </c>
      <c r="C34" s="85" t="s">
        <v>85</v>
      </c>
      <c r="D34" s="86" t="s">
        <v>80</v>
      </c>
      <c r="E34" s="7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0" t="s">
        <v>78</v>
      </c>
      <c r="C35" s="86" t="s">
        <v>86</v>
      </c>
      <c r="D35" s="86" t="s">
        <v>80</v>
      </c>
      <c r="E35" s="7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0" t="s">
        <v>76</v>
      </c>
      <c r="C36" s="86" t="s">
        <v>87</v>
      </c>
      <c r="D36" s="86" t="s">
        <v>83</v>
      </c>
      <c r="E36" s="7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1" t="s">
        <v>76</v>
      </c>
      <c r="C37" s="87" t="s">
        <v>83</v>
      </c>
      <c r="D37" s="87" t="s">
        <v>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77"/>
      <c r="C38" s="35"/>
      <c r="D38" s="3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3" t="s">
        <v>66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29" t="s">
        <v>190</v>
      </c>
      <c r="C41" s="127" t="s">
        <v>183</v>
      </c>
      <c r="D41" s="128" t="s">
        <v>10</v>
      </c>
      <c r="E41" s="128" t="s">
        <v>189</v>
      </c>
      <c r="F41" s="128" t="s">
        <v>0</v>
      </c>
      <c r="G41" s="128" t="s">
        <v>183</v>
      </c>
      <c r="H41" s="128" t="s">
        <v>11</v>
      </c>
      <c r="I41" s="128" t="s">
        <v>188</v>
      </c>
      <c r="J41" s="128" t="s">
        <v>3</v>
      </c>
      <c r="K41" s="211" t="s">
        <v>184</v>
      </c>
      <c r="L41" s="126" t="s">
        <v>185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66">
        <v>1</v>
      </c>
      <c r="C42" s="173" t="s">
        <v>19</v>
      </c>
      <c r="D42" s="195" t="e">
        <f t="shared" ref="D42:D47" si="6">IF($E$31="YES",C15,"Invalid test")</f>
        <v>#DIV/0!</v>
      </c>
      <c r="E42" s="258" t="e">
        <f>AVERAGE(D42:D44)</f>
        <v>#DIV/0!</v>
      </c>
      <c r="F42" s="258" t="e">
        <f>E42/$C$27</f>
        <v>#DIV/0!</v>
      </c>
      <c r="G42" s="70" t="s">
        <v>19</v>
      </c>
      <c r="H42" s="195" t="e">
        <f t="shared" ref="H42:H47" si="7">IF($E$31="YES",D15,"Invalid test")</f>
        <v>#DIV/0!</v>
      </c>
      <c r="I42" s="258" t="e">
        <f>AVERAGE(H42:H44)</f>
        <v>#DIV/0!</v>
      </c>
      <c r="J42" s="273" t="e">
        <f>IF(AND(ISNUMBER(E42),ISNUMBER(I42),ISNUMBER(E42/I42),E42/I42&gt;0),E42/I42, "Not valid")</f>
        <v>#DIV/0!</v>
      </c>
      <c r="K42" s="274" t="str">
        <f>IF(AND(ISNUMBER(J42)),IF(AND(J42&gt;=1.5,F42&gt;=2),"POS",IF(AND(J42&gt;=1.5,F42&gt;1.5),"EQ","NEG")),"Not valid")</f>
        <v>Not valid</v>
      </c>
      <c r="L42" s="275" t="str">
        <f>IF(K42="POS","POS",IF(K42="EQ","EQ repeat using optional YF MAC-ON",IF(K42="NEG","NEG","Analyse répétée de l’échantillon")))</f>
        <v>Analyse répétée de l’échantillon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67"/>
      <c r="C43" s="173" t="s">
        <v>20</v>
      </c>
      <c r="D43" s="195" t="e">
        <f t="shared" si="6"/>
        <v>#DIV/0!</v>
      </c>
      <c r="E43" s="258"/>
      <c r="F43" s="258"/>
      <c r="G43" s="70" t="s">
        <v>20</v>
      </c>
      <c r="H43" s="195" t="e">
        <f t="shared" si="7"/>
        <v>#DIV/0!</v>
      </c>
      <c r="I43" s="258"/>
      <c r="J43" s="273"/>
      <c r="K43" s="271"/>
      <c r="L43" s="276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68"/>
      <c r="C44" s="196" t="s">
        <v>21</v>
      </c>
      <c r="D44" s="197" t="e">
        <f t="shared" si="6"/>
        <v>#DIV/0!</v>
      </c>
      <c r="E44" s="259"/>
      <c r="F44" s="259"/>
      <c r="G44" s="198" t="s">
        <v>21</v>
      </c>
      <c r="H44" s="197" t="e">
        <f t="shared" si="7"/>
        <v>#DIV/0!</v>
      </c>
      <c r="I44" s="259"/>
      <c r="J44" s="274"/>
      <c r="K44" s="271"/>
      <c r="L44" s="276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69">
        <v>2</v>
      </c>
      <c r="C45" s="199" t="s">
        <v>22</v>
      </c>
      <c r="D45" s="200" t="e">
        <f t="shared" si="6"/>
        <v>#DIV/0!</v>
      </c>
      <c r="E45" s="260" t="e">
        <f t="shared" ref="E45" si="8">AVERAGE(D45:D47)</f>
        <v>#DIV/0!</v>
      </c>
      <c r="F45" s="260" t="e">
        <f t="shared" ref="F45" si="9">E45/$C$27</f>
        <v>#DIV/0!</v>
      </c>
      <c r="G45" s="201" t="s">
        <v>22</v>
      </c>
      <c r="H45" s="200" t="e">
        <f t="shared" si="7"/>
        <v>#DIV/0!</v>
      </c>
      <c r="I45" s="260" t="e">
        <f t="shared" ref="I45" si="10">AVERAGE(H45:H47)</f>
        <v>#DIV/0!</v>
      </c>
      <c r="J45" s="273" t="e">
        <f t="shared" ref="J45" si="11">IF(AND(ISNUMBER(E45),ISNUMBER(I45),ISNUMBER(E45/I45),E45/I45&gt;0),E45/I45, "Not valid")</f>
        <v>#DIV/0!</v>
      </c>
      <c r="K45" s="274" t="str">
        <f t="shared" ref="K45" si="12">IF(AND(ISNUMBER(J45)),IF(AND(J45&gt;=1.5,F45&gt;=2),"POS",IF(AND(J45&gt;=1.5,F45&gt;1.5),"EQ","NEG")),"Not valid")</f>
        <v>Not valid</v>
      </c>
      <c r="L45" s="275" t="str">
        <f t="shared" ref="L45" si="13">IF(K45="POS","POS",IF(K45="EQ","EQ repeat using optional YF MAC-ON",IF(K45="NEG","NEG","Analyse répétée de l’échantillon")))</f>
        <v>Analyse répétée de l’échantillon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67"/>
      <c r="C46" s="173" t="s">
        <v>23</v>
      </c>
      <c r="D46" s="195" t="e">
        <f t="shared" si="6"/>
        <v>#DIV/0!</v>
      </c>
      <c r="E46" s="258"/>
      <c r="F46" s="258"/>
      <c r="G46" s="70" t="s">
        <v>23</v>
      </c>
      <c r="H46" s="195" t="e">
        <f t="shared" si="7"/>
        <v>#DIV/0!</v>
      </c>
      <c r="I46" s="258"/>
      <c r="J46" s="273"/>
      <c r="K46" s="271"/>
      <c r="L46" s="276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70"/>
      <c r="C47" s="196" t="s">
        <v>144</v>
      </c>
      <c r="D47" s="197" t="e">
        <f t="shared" si="6"/>
        <v>#DIV/0!</v>
      </c>
      <c r="E47" s="259"/>
      <c r="F47" s="259"/>
      <c r="G47" s="198" t="s">
        <v>144</v>
      </c>
      <c r="H47" s="197" t="e">
        <f t="shared" si="7"/>
        <v>#DIV/0!</v>
      </c>
      <c r="I47" s="259"/>
      <c r="J47" s="274"/>
      <c r="K47" s="271"/>
      <c r="L47" s="276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61">
        <v>3</v>
      </c>
      <c r="C48" s="173" t="s">
        <v>24</v>
      </c>
      <c r="D48" s="195" t="e">
        <f t="shared" ref="D48:D53" si="14">IF($E$31="YES",E15,"Invalid test")</f>
        <v>#DIV/0!</v>
      </c>
      <c r="E48" s="258" t="e">
        <f t="shared" ref="E48" si="15">AVERAGE(D48:D50)</f>
        <v>#DIV/0!</v>
      </c>
      <c r="F48" s="258" t="e">
        <f t="shared" ref="F48" si="16">E48/$C$27</f>
        <v>#DIV/0!</v>
      </c>
      <c r="G48" s="70" t="s">
        <v>24</v>
      </c>
      <c r="H48" s="195" t="e">
        <f t="shared" ref="H48:H53" si="17">IF($E$31="YES",F15,"Invalid test")</f>
        <v>#DIV/0!</v>
      </c>
      <c r="I48" s="258" t="e">
        <f t="shared" ref="I48" si="18">AVERAGE(H48:H50)</f>
        <v>#DIV/0!</v>
      </c>
      <c r="J48" s="273" t="e">
        <f t="shared" ref="J48" si="19">IF(AND(ISNUMBER(E48),ISNUMBER(I48),ISNUMBER(E48/I48),E48/I48&gt;0),E48/I48, "Not valid")</f>
        <v>#DIV/0!</v>
      </c>
      <c r="K48" s="274" t="str">
        <f t="shared" ref="K48" si="20">IF(AND(ISNUMBER(J48)),IF(AND(J48&gt;=1.5,F48&gt;=2),"POS",IF(AND(J48&gt;=1.5,F48&gt;1.5),"EQ","NEG")),"Not valid")</f>
        <v>Not valid</v>
      </c>
      <c r="L48" s="275" t="str">
        <f t="shared" ref="L48" si="21">IF(K48="POS","POS",IF(K48="EQ","EQ repeat using optional YF MAC-ON",IF(K48="NEG","NEG","Analyse répétée de l’échantillon")))</f>
        <v>Analyse répétée de l’échantillon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61"/>
      <c r="C49" s="173" t="s">
        <v>25</v>
      </c>
      <c r="D49" s="195" t="e">
        <f t="shared" si="14"/>
        <v>#DIV/0!</v>
      </c>
      <c r="E49" s="258"/>
      <c r="F49" s="258"/>
      <c r="G49" s="70" t="s">
        <v>25</v>
      </c>
      <c r="H49" s="195" t="e">
        <f t="shared" si="17"/>
        <v>#DIV/0!</v>
      </c>
      <c r="I49" s="258"/>
      <c r="J49" s="273"/>
      <c r="K49" s="271"/>
      <c r="L49" s="276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64"/>
      <c r="C50" s="173" t="s">
        <v>26</v>
      </c>
      <c r="D50" s="197" t="e">
        <f t="shared" si="14"/>
        <v>#DIV/0!</v>
      </c>
      <c r="E50" s="259"/>
      <c r="F50" s="259"/>
      <c r="G50" s="70" t="s">
        <v>26</v>
      </c>
      <c r="H50" s="197" t="e">
        <f t="shared" si="17"/>
        <v>#DIV/0!</v>
      </c>
      <c r="I50" s="259"/>
      <c r="J50" s="274"/>
      <c r="K50" s="271"/>
      <c r="L50" s="276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61">
        <v>4</v>
      </c>
      <c r="C51" s="199" t="s">
        <v>27</v>
      </c>
      <c r="D51" s="195" t="e">
        <f t="shared" si="14"/>
        <v>#DIV/0!</v>
      </c>
      <c r="E51" s="258" t="e">
        <f t="shared" ref="E51" si="22">AVERAGE(D51:D53)</f>
        <v>#DIV/0!</v>
      </c>
      <c r="F51" s="258" t="e">
        <f t="shared" ref="F51" si="23">E51/$C$27</f>
        <v>#DIV/0!</v>
      </c>
      <c r="G51" s="201" t="s">
        <v>27</v>
      </c>
      <c r="H51" s="195" t="e">
        <f t="shared" si="17"/>
        <v>#DIV/0!</v>
      </c>
      <c r="I51" s="258" t="e">
        <f t="shared" ref="I51" si="24">AVERAGE(H51:H53)</f>
        <v>#DIV/0!</v>
      </c>
      <c r="J51" s="273" t="e">
        <f t="shared" ref="J51" si="25">IF(AND(ISNUMBER(E51),ISNUMBER(I51),ISNUMBER(E51/I51),E51/I51&gt;0),E51/I51, "Not valid")</f>
        <v>#DIV/0!</v>
      </c>
      <c r="K51" s="274" t="str">
        <f t="shared" ref="K51" si="26">IF(AND(ISNUMBER(J51)),IF(AND(J51&gt;=1.5,F51&gt;=2),"POS",IF(AND(J51&gt;=1.5,F51&gt;1.5),"EQ","NEG")),"Not valid")</f>
        <v>Not valid</v>
      </c>
      <c r="L51" s="275" t="str">
        <f t="shared" ref="L51" si="27">IF(K51="POS","POS",IF(K51="EQ","EQ repeat using optional YF MAC-ON",IF(K51="NEG","NEG","Analyse répétée de l’échantillon")))</f>
        <v>Analyse répétée de l’échantillon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61"/>
      <c r="C52" s="173" t="s">
        <v>28</v>
      </c>
      <c r="D52" s="195" t="e">
        <f t="shared" si="14"/>
        <v>#DIV/0!</v>
      </c>
      <c r="E52" s="258"/>
      <c r="F52" s="258"/>
      <c r="G52" s="70" t="s">
        <v>28</v>
      </c>
      <c r="H52" s="195" t="e">
        <f t="shared" si="17"/>
        <v>#DIV/0!</v>
      </c>
      <c r="I52" s="258"/>
      <c r="J52" s="273"/>
      <c r="K52" s="271"/>
      <c r="L52" s="276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61"/>
      <c r="C53" s="196" t="s">
        <v>145</v>
      </c>
      <c r="D53" s="195" t="e">
        <f t="shared" si="14"/>
        <v>#DIV/0!</v>
      </c>
      <c r="E53" s="258"/>
      <c r="F53" s="258"/>
      <c r="G53" s="198" t="s">
        <v>145</v>
      </c>
      <c r="H53" s="195" t="e">
        <f t="shared" si="17"/>
        <v>#DIV/0!</v>
      </c>
      <c r="I53" s="258"/>
      <c r="J53" s="274"/>
      <c r="K53" s="271"/>
      <c r="L53" s="276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63">
        <v>5</v>
      </c>
      <c r="C54" s="173" t="s">
        <v>29</v>
      </c>
      <c r="D54" s="200" t="e">
        <f t="shared" ref="D54:D59" si="28">IF($E$31="YES",G15,"Invalid test")</f>
        <v>#DIV/0!</v>
      </c>
      <c r="E54" s="260" t="e">
        <f t="shared" ref="E54" si="29">AVERAGE(D54:D56)</f>
        <v>#DIV/0!</v>
      </c>
      <c r="F54" s="260" t="e">
        <f t="shared" ref="F54" si="30">E54/$C$27</f>
        <v>#DIV/0!</v>
      </c>
      <c r="G54" s="70" t="s">
        <v>29</v>
      </c>
      <c r="H54" s="200" t="e">
        <f t="shared" ref="H54:H59" si="31">IF($E$31="YES",H15,"Invalid test")</f>
        <v>#DIV/0!</v>
      </c>
      <c r="I54" s="260" t="e">
        <f t="shared" ref="I54" si="32">AVERAGE(H54:H56)</f>
        <v>#DIV/0!</v>
      </c>
      <c r="J54" s="273" t="e">
        <f t="shared" ref="J54" si="33">IF(AND(ISNUMBER(E54),ISNUMBER(I54),ISNUMBER(E54/I54),E54/I54&gt;0),E54/I54, "Not valid")</f>
        <v>#DIV/0!</v>
      </c>
      <c r="K54" s="274" t="str">
        <f t="shared" ref="K54" si="34">IF(AND(ISNUMBER(J54)),IF(AND(J54&gt;=1.5,F54&gt;=2),"POS",IF(AND(J54&gt;=1.5,F54&gt;1.5),"EQ","NEG")),"Not valid")</f>
        <v>Not valid</v>
      </c>
      <c r="L54" s="275" t="str">
        <f t="shared" ref="L54" si="35">IF(K54="POS","POS",IF(K54="EQ","EQ repeat using optional YF MAC-ON",IF(K54="NEG","NEG","Analyse répétée de l’échantillon")))</f>
        <v>Analyse répétée de l’échantillon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61"/>
      <c r="C55" s="173" t="s">
        <v>30</v>
      </c>
      <c r="D55" s="195" t="e">
        <f t="shared" si="28"/>
        <v>#DIV/0!</v>
      </c>
      <c r="E55" s="258"/>
      <c r="F55" s="258"/>
      <c r="G55" s="70" t="s">
        <v>30</v>
      </c>
      <c r="H55" s="195" t="e">
        <f t="shared" si="31"/>
        <v>#DIV/0!</v>
      </c>
      <c r="I55" s="258"/>
      <c r="J55" s="273"/>
      <c r="K55" s="271"/>
      <c r="L55" s="276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64"/>
      <c r="C56" s="173" t="s">
        <v>31</v>
      </c>
      <c r="D56" s="197" t="e">
        <f t="shared" si="28"/>
        <v>#DIV/0!</v>
      </c>
      <c r="E56" s="259"/>
      <c r="F56" s="259"/>
      <c r="G56" s="70" t="s">
        <v>31</v>
      </c>
      <c r="H56" s="197" t="e">
        <f t="shared" si="31"/>
        <v>#DIV/0!</v>
      </c>
      <c r="I56" s="259"/>
      <c r="J56" s="274"/>
      <c r="K56" s="271"/>
      <c r="L56" s="276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61">
        <v>6</v>
      </c>
      <c r="C57" s="199" t="s">
        <v>32</v>
      </c>
      <c r="D57" s="195" t="e">
        <f t="shared" si="28"/>
        <v>#DIV/0!</v>
      </c>
      <c r="E57" s="258" t="e">
        <f t="shared" ref="E57" si="36">AVERAGE(D57:D59)</f>
        <v>#DIV/0!</v>
      </c>
      <c r="F57" s="258" t="e">
        <f t="shared" ref="F57" si="37">E57/$C$27</f>
        <v>#DIV/0!</v>
      </c>
      <c r="G57" s="201" t="s">
        <v>32</v>
      </c>
      <c r="H57" s="195" t="e">
        <f t="shared" si="31"/>
        <v>#DIV/0!</v>
      </c>
      <c r="I57" s="258" t="e">
        <f t="shared" ref="I57" si="38">AVERAGE(H57:H59)</f>
        <v>#DIV/0!</v>
      </c>
      <c r="J57" s="273" t="e">
        <f t="shared" ref="J57" si="39">IF(AND(ISNUMBER(E57),ISNUMBER(I57),ISNUMBER(E57/I57),E57/I57&gt;0),E57/I57, "Not valid")</f>
        <v>#DIV/0!</v>
      </c>
      <c r="K57" s="274" t="str">
        <f t="shared" ref="K57" si="40">IF(AND(ISNUMBER(J57)),IF(AND(J57&gt;=1.5,F57&gt;=2),"POS",IF(AND(J57&gt;=1.5,F57&gt;1.5),"EQ","NEG")),"Not valid")</f>
        <v>Not valid</v>
      </c>
      <c r="L57" s="275" t="str">
        <f t="shared" ref="L57" si="41">IF(K57="POS","POS",IF(K57="EQ","EQ repeat using optional YF MAC-ON",IF(K57="NEG","NEG","Analyse répétée de l’échantillon")))</f>
        <v>Analyse répétée de l’échantillon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61"/>
      <c r="C58" s="173" t="s">
        <v>33</v>
      </c>
      <c r="D58" s="195" t="e">
        <f t="shared" si="28"/>
        <v>#DIV/0!</v>
      </c>
      <c r="E58" s="258"/>
      <c r="F58" s="258"/>
      <c r="G58" s="70" t="s">
        <v>33</v>
      </c>
      <c r="H58" s="195" t="e">
        <f t="shared" si="31"/>
        <v>#DIV/0!</v>
      </c>
      <c r="I58" s="258"/>
      <c r="J58" s="273"/>
      <c r="K58" s="271"/>
      <c r="L58" s="276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61"/>
      <c r="C59" s="196" t="s">
        <v>146</v>
      </c>
      <c r="D59" s="195" t="e">
        <f t="shared" si="28"/>
        <v>#DIV/0!</v>
      </c>
      <c r="E59" s="258"/>
      <c r="F59" s="258"/>
      <c r="G59" s="198" t="s">
        <v>146</v>
      </c>
      <c r="H59" s="195" t="e">
        <f t="shared" si="31"/>
        <v>#DIV/0!</v>
      </c>
      <c r="I59" s="258"/>
      <c r="J59" s="274"/>
      <c r="K59" s="271"/>
      <c r="L59" s="276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63">
        <v>7</v>
      </c>
      <c r="C60" s="173" t="s">
        <v>34</v>
      </c>
      <c r="D60" s="200" t="e">
        <f t="shared" ref="D60:D65" si="42">IF($E$31="YES",I15,"Invalid test")</f>
        <v>#DIV/0!</v>
      </c>
      <c r="E60" s="260" t="e">
        <f t="shared" ref="E60" si="43">AVERAGE(D60:D62)</f>
        <v>#DIV/0!</v>
      </c>
      <c r="F60" s="260" t="e">
        <f t="shared" ref="F60" si="44">E60/$C$27</f>
        <v>#DIV/0!</v>
      </c>
      <c r="G60" s="70" t="s">
        <v>34</v>
      </c>
      <c r="H60" s="200" t="e">
        <f t="shared" ref="H60:H65" si="45">IF($E$31="YES",J15,"Invalid test")</f>
        <v>#DIV/0!</v>
      </c>
      <c r="I60" s="260" t="e">
        <f t="shared" ref="I60" si="46">AVERAGE(H60:H62)</f>
        <v>#DIV/0!</v>
      </c>
      <c r="J60" s="273" t="e">
        <f t="shared" ref="J60" si="47">IF(AND(ISNUMBER(E60),ISNUMBER(I60),ISNUMBER(E60/I60),E60/I60&gt;0),E60/I60, "Not valid")</f>
        <v>#DIV/0!</v>
      </c>
      <c r="K60" s="274" t="str">
        <f t="shared" ref="K60" si="48">IF(AND(ISNUMBER(J60)),IF(AND(J60&gt;=1.5,F60&gt;=2),"POS",IF(AND(J60&gt;=1.5,F60&gt;1.5),"EQ","NEG")),"Not valid")</f>
        <v>Not valid</v>
      </c>
      <c r="L60" s="275" t="str">
        <f t="shared" ref="L60" si="49">IF(K60="POS","POS",IF(K60="EQ","EQ repeat using optional YF MAC-ON",IF(K60="NEG","NEG","Analyse répétée de l’échantillon")))</f>
        <v>Analyse répétée de l’échantillon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61"/>
      <c r="C61" s="173" t="s">
        <v>35</v>
      </c>
      <c r="D61" s="195" t="e">
        <f t="shared" si="42"/>
        <v>#DIV/0!</v>
      </c>
      <c r="E61" s="258"/>
      <c r="F61" s="258"/>
      <c r="G61" s="70" t="s">
        <v>35</v>
      </c>
      <c r="H61" s="195" t="e">
        <f t="shared" si="45"/>
        <v>#DIV/0!</v>
      </c>
      <c r="I61" s="258"/>
      <c r="J61" s="273"/>
      <c r="K61" s="271"/>
      <c r="L61" s="276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64"/>
      <c r="C62" s="173" t="s">
        <v>36</v>
      </c>
      <c r="D62" s="197" t="e">
        <f t="shared" si="42"/>
        <v>#DIV/0!</v>
      </c>
      <c r="E62" s="259"/>
      <c r="F62" s="259"/>
      <c r="G62" s="70" t="s">
        <v>36</v>
      </c>
      <c r="H62" s="197" t="e">
        <f t="shared" si="45"/>
        <v>#DIV/0!</v>
      </c>
      <c r="I62" s="259"/>
      <c r="J62" s="274"/>
      <c r="K62" s="271"/>
      <c r="L62" s="276"/>
      <c r="M62" s="1"/>
      <c r="N62" s="1"/>
      <c r="O62" s="1"/>
      <c r="P62" s="1"/>
      <c r="Q62" s="1"/>
      <c r="R62" s="1"/>
      <c r="S62" s="1"/>
      <c r="T62" s="1"/>
    </row>
    <row r="63" spans="2:20" ht="15.75" thickBot="1" x14ac:dyDescent="0.3">
      <c r="B63" s="263">
        <v>8</v>
      </c>
      <c r="C63" s="199" t="s">
        <v>37</v>
      </c>
      <c r="D63" s="200" t="e">
        <f t="shared" si="42"/>
        <v>#DIV/0!</v>
      </c>
      <c r="E63" s="260" t="e">
        <f t="shared" ref="E63" si="50">AVERAGE(D63:D65)</f>
        <v>#DIV/0!</v>
      </c>
      <c r="F63" s="260" t="e">
        <f t="shared" ref="F63" si="51">E63/$C$27</f>
        <v>#DIV/0!</v>
      </c>
      <c r="G63" s="201" t="s">
        <v>37</v>
      </c>
      <c r="H63" s="200" t="e">
        <f t="shared" si="45"/>
        <v>#DIV/0!</v>
      </c>
      <c r="I63" s="260" t="e">
        <f t="shared" ref="I63" si="52">AVERAGE(H63:H65)</f>
        <v>#DIV/0!</v>
      </c>
      <c r="J63" s="260" t="e">
        <f t="shared" ref="J63" si="53">IF(AND(ISNUMBER(E63),ISNUMBER(I63),ISNUMBER(E63/I63),E63/I63&gt;0),E63/I63, "Not valid")</f>
        <v>#DIV/0!</v>
      </c>
      <c r="K63" s="271" t="str">
        <f t="shared" ref="K63" si="54">IF(AND(ISNUMBER(J63)),IF(AND(J63&gt;=1.5,F63&gt;=2),"POS",IF(AND(J63&gt;=1.5,F63&gt;1.5),"EQ","NEG")),"Not valid")</f>
        <v>Not valid</v>
      </c>
      <c r="L63" s="276" t="str">
        <f t="shared" ref="L63" si="55">IF(K63="POS","POS",IF(K63="EQ","EQ repeat using optional YF MAC-ON",IF(K63="NEG","NEG","Analyse répétée de l’échantillon")))</f>
        <v>Analyse répétée de l’échantillon</v>
      </c>
      <c r="M63" s="1"/>
      <c r="N63" s="1"/>
      <c r="O63" s="1"/>
      <c r="P63" s="1"/>
      <c r="Q63" s="1"/>
      <c r="R63" s="1"/>
      <c r="S63" s="1"/>
      <c r="T63" s="1"/>
    </row>
    <row r="64" spans="2:20" ht="15.75" thickBot="1" x14ac:dyDescent="0.3">
      <c r="B64" s="261"/>
      <c r="C64" s="173" t="s">
        <v>38</v>
      </c>
      <c r="D64" s="195" t="e">
        <f t="shared" si="42"/>
        <v>#DIV/0!</v>
      </c>
      <c r="E64" s="258"/>
      <c r="F64" s="258"/>
      <c r="G64" s="70" t="s">
        <v>38</v>
      </c>
      <c r="H64" s="195" t="e">
        <f t="shared" si="45"/>
        <v>#DIV/0!</v>
      </c>
      <c r="I64" s="258"/>
      <c r="J64" s="258"/>
      <c r="K64" s="271"/>
      <c r="L64" s="276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265"/>
      <c r="C65" s="176" t="s">
        <v>147</v>
      </c>
      <c r="D65" s="202" t="e">
        <f t="shared" si="42"/>
        <v>#DIV/0!</v>
      </c>
      <c r="E65" s="262"/>
      <c r="F65" s="262"/>
      <c r="G65" s="178" t="s">
        <v>147</v>
      </c>
      <c r="H65" s="202" t="e">
        <f t="shared" si="45"/>
        <v>#DIV/0!</v>
      </c>
      <c r="I65" s="262"/>
      <c r="J65" s="262"/>
      <c r="K65" s="272"/>
      <c r="L65" s="277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48" t="s">
        <v>187</v>
      </c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aS/IH6ck5CSHgvPFhBMgq9LXYLzkLNAcTjj7qDMlAM27KKPeoxrhd1nIUGHWMhMhrE20l/D1YwjcnZCeE3jK3g==" saltValue="+68VatC3UEhD3b8BqxUgLQ==" spinCount="100000" sheet="1" formatCells="0" formatColumns="0" formatRows="0" insertColumns="0" insertRows="0" insertHyperlinks="0" deleteColumns="0" deleteRows="0" sort="0" autoFilter="0" pivotTables="0"/>
  <mergeCells count="67"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B42:B44"/>
    <mergeCell ref="B45:B47"/>
    <mergeCell ref="B48:B50"/>
    <mergeCell ref="B51:B53"/>
    <mergeCell ref="B54:B56"/>
    <mergeCell ref="E42:E44"/>
    <mergeCell ref="E45:E47"/>
    <mergeCell ref="E48:E50"/>
    <mergeCell ref="E51:E53"/>
    <mergeCell ref="E54:E56"/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627B-9418-431E-92F1-9E298482C263}">
  <dimension ref="A2:A64"/>
  <sheetViews>
    <sheetView workbookViewId="0">
      <selection activeCell="T13" sqref="T13"/>
    </sheetView>
  </sheetViews>
  <sheetFormatPr defaultRowHeight="15" x14ac:dyDescent="0.25"/>
  <cols>
    <col min="2" max="2" width="39.5703125" customWidth="1"/>
    <col min="3" max="3" width="10" customWidth="1"/>
    <col min="4" max="4" width="11.42578125" customWidth="1"/>
    <col min="5" max="5" width="12" customWidth="1"/>
    <col min="6" max="6" width="9.5703125" customWidth="1"/>
    <col min="7" max="7" width="10.85546875" customWidth="1"/>
    <col min="8" max="8" width="10.140625" customWidth="1"/>
    <col min="9" max="9" width="11.140625" customWidth="1"/>
    <col min="10" max="10" width="24.5703125" customWidth="1"/>
    <col min="11" max="11" width="11.140625" customWidth="1"/>
    <col min="12" max="12" width="15.140625" customWidth="1"/>
    <col min="13" max="13" width="12.28515625" customWidth="1"/>
    <col min="14" max="14" width="11" customWidth="1"/>
    <col min="16" max="16" width="10.85546875" customWidth="1"/>
  </cols>
  <sheetData>
    <row r="2" ht="16.5" customHeight="1" x14ac:dyDescent="0.25"/>
    <row r="10" ht="16.5" customHeight="1" x14ac:dyDescent="0.25"/>
    <row r="11" ht="15.75" customHeight="1" x14ac:dyDescent="0.25"/>
    <row r="13" ht="15.75" customHeight="1" x14ac:dyDescent="0.25"/>
    <row r="21" ht="16.5" customHeight="1" x14ac:dyDescent="0.25"/>
    <row r="23" ht="26.25" customHeight="1" x14ac:dyDescent="0.25"/>
    <row r="26" ht="17.2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6" ht="15.75" customHeight="1" x14ac:dyDescent="0.25"/>
    <row r="37" ht="16.5" customHeight="1" x14ac:dyDescent="0.25"/>
    <row r="38" ht="15.75" customHeight="1" x14ac:dyDescent="0.25"/>
    <row r="40" ht="21" customHeight="1" x14ac:dyDescent="0.25"/>
    <row r="41" ht="34.5" customHeight="1" x14ac:dyDescent="0.25"/>
    <row r="42" ht="15.75" customHeight="1" x14ac:dyDescent="0.25"/>
    <row r="43" ht="16.5" customHeight="1" x14ac:dyDescent="0.25"/>
    <row r="44" ht="15.75" customHeight="1" x14ac:dyDescent="0.25"/>
    <row r="45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" customHeight="1" x14ac:dyDescent="0.25"/>
    <row r="51" ht="15.75" customHeight="1" x14ac:dyDescent="0.25"/>
    <row r="52" ht="16.5" customHeight="1" x14ac:dyDescent="0.25"/>
    <row r="53" ht="15.75" customHeight="1" x14ac:dyDescent="0.25"/>
    <row r="54" ht="16.5" customHeight="1" x14ac:dyDescent="0.25"/>
    <row r="55" ht="15.75" customHeight="1" x14ac:dyDescent="0.25"/>
    <row r="56" ht="15.75" customHeight="1" x14ac:dyDescent="0.25"/>
    <row r="57" ht="15.75" customHeight="1" x14ac:dyDescent="0.25"/>
    <row r="59" ht="15.75" customHeight="1" x14ac:dyDescent="0.25"/>
    <row r="61" ht="16.5" customHeight="1" x14ac:dyDescent="0.25"/>
    <row r="63" ht="15.75" customHeight="1" x14ac:dyDescent="0.25"/>
    <row r="64" ht="16.5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6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41</v>
      </c>
      <c r="B1" s="1" t="s">
        <v>6</v>
      </c>
      <c r="C1" s="1" t="s">
        <v>45</v>
      </c>
      <c r="E1" s="1" t="s">
        <v>46</v>
      </c>
      <c r="F1" s="1" t="s">
        <v>50</v>
      </c>
      <c r="G1" s="1" t="s">
        <v>51</v>
      </c>
      <c r="H1" s="1" t="s">
        <v>75</v>
      </c>
      <c r="I1" s="26"/>
      <c r="K1" s="1"/>
    </row>
    <row r="2" spans="1:11" x14ac:dyDescent="0.25">
      <c r="A2" s="1" t="s">
        <v>16</v>
      </c>
      <c r="B2" s="27" t="e">
        <f>'YF MAC-ON'!K15</f>
        <v>#DIV/0!</v>
      </c>
      <c r="C2" s="27" t="e">
        <f>MAX(B2:B4)</f>
        <v>#DIV/0!</v>
      </c>
      <c r="D2" s="1" t="s">
        <v>47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6" t="e">
        <f>IF(G2&gt;0,G2,(MAX(F2:F3)))</f>
        <v>#DIV/0!</v>
      </c>
      <c r="I2" s="26"/>
      <c r="K2" s="1"/>
    </row>
    <row r="3" spans="1:11" x14ac:dyDescent="0.25">
      <c r="A3" s="5" t="s">
        <v>17</v>
      </c>
      <c r="B3" s="5" t="e">
        <f>'YF MAC-ON'!K16</f>
        <v>#DIV/0!</v>
      </c>
      <c r="C3" s="4" t="e">
        <f>MEDIAN(B2:B4)</f>
        <v>#DIV/0!</v>
      </c>
      <c r="D3" s="5" t="s">
        <v>48</v>
      </c>
      <c r="E3" s="1" t="e">
        <f>C3-C4</f>
        <v>#DIV/0!</v>
      </c>
      <c r="F3" s="1" t="e">
        <f>IF(E3&lt;0.3,(C3+C4)/2,0)</f>
        <v>#DIV/0!</v>
      </c>
      <c r="H3" s="26"/>
      <c r="I3" s="26"/>
      <c r="K3" s="1"/>
    </row>
    <row r="4" spans="1:11" x14ac:dyDescent="0.25">
      <c r="A4" s="5" t="s">
        <v>137</v>
      </c>
      <c r="B4" s="5" t="e">
        <f>'YF MAC-ON'!K17</f>
        <v>#DIV/0!</v>
      </c>
      <c r="C4" s="4" t="e">
        <f>MIN(B2:B4)</f>
        <v>#DIV/0!</v>
      </c>
      <c r="D4" s="1" t="s">
        <v>49</v>
      </c>
      <c r="H4" s="26"/>
      <c r="I4" s="26"/>
      <c r="K4" s="1"/>
    </row>
    <row r="5" spans="1:11" x14ac:dyDescent="0.25">
      <c r="A5" s="5" t="s">
        <v>7</v>
      </c>
      <c r="B5" s="5" t="s">
        <v>8</v>
      </c>
      <c r="C5" s="4"/>
      <c r="F5" s="1" t="s">
        <v>52</v>
      </c>
      <c r="G5" s="1" t="e">
        <f>MIN(E2:E3)</f>
        <v>#DIV/0!</v>
      </c>
      <c r="H5" s="26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6"/>
      <c r="K6" s="30"/>
    </row>
    <row r="7" spans="1:11" x14ac:dyDescent="0.25">
      <c r="F7" s="1" t="s">
        <v>53</v>
      </c>
      <c r="G7" s="1" t="e">
        <f>IF(AND(ISNUMBER(G6),(G6&gt;0)),G6,"N/A")</f>
        <v>#DIV/0!</v>
      </c>
      <c r="H7" s="26" t="e">
        <f>IF(AND(ISNUMBER(G7),(G7&gt;=0.6)),"Valid","Not valid")</f>
        <v>#DIV/0!</v>
      </c>
      <c r="K7" s="1"/>
    </row>
    <row r="8" spans="1:11" x14ac:dyDescent="0.25">
      <c r="F8" s="1" t="s">
        <v>69</v>
      </c>
      <c r="G8" s="1" t="str">
        <f>IF(ISNUMBER(G7),(ROUNDDOWN(G7,3)),"N/A")</f>
        <v>N/A</v>
      </c>
      <c r="H8" s="26"/>
      <c r="K8" s="1"/>
    </row>
    <row r="9" spans="1:11" x14ac:dyDescent="0.25">
      <c r="H9" s="26"/>
      <c r="K9" s="1"/>
    </row>
    <row r="10" spans="1:11" x14ac:dyDescent="0.25">
      <c r="A10" s="1" t="s">
        <v>43</v>
      </c>
      <c r="B10" s="1" t="s">
        <v>6</v>
      </c>
      <c r="C10" s="1" t="s">
        <v>45</v>
      </c>
      <c r="E10" s="1" t="s">
        <v>46</v>
      </c>
      <c r="F10" s="1" t="s">
        <v>56</v>
      </c>
      <c r="G10" s="1" t="s">
        <v>51</v>
      </c>
      <c r="H10" s="1" t="s">
        <v>75</v>
      </c>
      <c r="K10" s="1"/>
    </row>
    <row r="11" spans="1:11" x14ac:dyDescent="0.25">
      <c r="A11" s="1" t="s">
        <v>138</v>
      </c>
      <c r="B11" s="27" t="e">
        <f>'YF MAC-ON'!K18</f>
        <v>#DIV/0!</v>
      </c>
      <c r="C11" s="27" t="e">
        <f>MAX(B11:B13)</f>
        <v>#DIV/0!</v>
      </c>
      <c r="D11" s="1" t="s">
        <v>47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6" t="e">
        <f>IF(G11&gt;0,G11,(MAX(F11+F12)))</f>
        <v>#DIV/0!</v>
      </c>
      <c r="I11" s="26"/>
      <c r="K11" s="1"/>
    </row>
    <row r="12" spans="1:11" x14ac:dyDescent="0.25">
      <c r="A12" s="1" t="s">
        <v>139</v>
      </c>
      <c r="B12" s="5" t="e">
        <f>'YF MAC-ON'!K19</f>
        <v>#DIV/0!</v>
      </c>
      <c r="C12" s="4" t="e">
        <f>MEDIAN(B11:B13)</f>
        <v>#DIV/0!</v>
      </c>
      <c r="D12" s="5" t="s">
        <v>48</v>
      </c>
      <c r="E12" s="1" t="e">
        <f>C12-C13</f>
        <v>#DIV/0!</v>
      </c>
      <c r="F12" s="1" t="e">
        <f>IF(E12&lt;0.025,(C12+C13)/2,0)</f>
        <v>#DIV/0!</v>
      </c>
      <c r="H12" s="26"/>
      <c r="K12" s="1"/>
    </row>
    <row r="13" spans="1:11" x14ac:dyDescent="0.25">
      <c r="A13" s="1" t="s">
        <v>140</v>
      </c>
      <c r="B13" s="5" t="e">
        <f>'YF MAC-ON'!K20</f>
        <v>#DIV/0!</v>
      </c>
      <c r="C13" s="4" t="e">
        <f>MIN(B11:B13)</f>
        <v>#DIV/0!</v>
      </c>
      <c r="D13" s="1" t="s">
        <v>49</v>
      </c>
      <c r="H13" s="26"/>
      <c r="K13" s="1"/>
    </row>
    <row r="14" spans="1:11" x14ac:dyDescent="0.25">
      <c r="A14" s="5" t="s">
        <v>7</v>
      </c>
      <c r="B14" s="5" t="s">
        <v>8</v>
      </c>
      <c r="C14" s="4"/>
      <c r="F14" s="1" t="s">
        <v>57</v>
      </c>
      <c r="G14" s="1" t="e">
        <f>MIN(E11:E12)</f>
        <v>#DIV/0!</v>
      </c>
      <c r="H14" s="26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6"/>
      <c r="K15" s="1"/>
    </row>
    <row r="16" spans="1:11" x14ac:dyDescent="0.25">
      <c r="F16" s="1" t="s">
        <v>72</v>
      </c>
      <c r="G16" s="1" t="e">
        <f>IF(G15=0,"N/A",G15)</f>
        <v>#DIV/0!</v>
      </c>
      <c r="H16" s="26" t="e">
        <f>IF(AND(ISNUMBER(G16),(G16&lt;0.2)),"Valid","Not Valid")</f>
        <v>#DIV/0!</v>
      </c>
      <c r="K16" s="1"/>
    </row>
    <row r="17" spans="1:9" s="1" customFormat="1" x14ac:dyDescent="0.25">
      <c r="F17" s="1" t="s">
        <v>58</v>
      </c>
      <c r="G17" s="1" t="e">
        <f>IF(G15&gt;=0.05,G15,0.05)</f>
        <v>#DIV/0!</v>
      </c>
      <c r="H17" s="28" t="e">
        <f>IF(G16=G17,"Valid",H16)</f>
        <v>#DIV/0!</v>
      </c>
    </row>
    <row r="18" spans="1:9" s="1" customFormat="1" x14ac:dyDescent="0.25">
      <c r="F18" s="1" t="s">
        <v>71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61</v>
      </c>
      <c r="B20" s="1" t="s">
        <v>6</v>
      </c>
      <c r="C20" s="1" t="s">
        <v>45</v>
      </c>
      <c r="E20" s="1" t="s">
        <v>46</v>
      </c>
      <c r="F20" s="1" t="s">
        <v>50</v>
      </c>
      <c r="G20" s="1" t="s">
        <v>51</v>
      </c>
      <c r="H20" s="1" t="s">
        <v>75</v>
      </c>
      <c r="I20" s="15" t="s">
        <v>68</v>
      </c>
    </row>
    <row r="21" spans="1:9" s="1" customFormat="1" x14ac:dyDescent="0.25">
      <c r="A21" s="1" t="s">
        <v>141</v>
      </c>
      <c r="B21" s="1" t="e">
        <f>'YF MAC-ON'!L15</f>
        <v>#DIV/0!</v>
      </c>
      <c r="C21" s="1" t="e">
        <f>MAX(B21:B23)</f>
        <v>#DIV/0!</v>
      </c>
      <c r="D21" s="1" t="s">
        <v>47</v>
      </c>
      <c r="E21" s="1" t="e">
        <f>C21-C22</f>
        <v>#DIV/0!</v>
      </c>
      <c r="F21" s="1" t="e">
        <f>IF(E21&lt;0.3,AVERAGE(C21:C22),0)</f>
        <v>#DIV/0!</v>
      </c>
      <c r="G21" s="29" t="e">
        <f>IF(AND(E21:E22&lt;0.3),AVERAGE(B21:B23),0)</f>
        <v>#DIV/0!</v>
      </c>
      <c r="H21" s="26" t="e">
        <f>IF(G21&gt;0,G21,(MAX(F21:F22)))</f>
        <v>#DIV/0!</v>
      </c>
      <c r="I21" s="26" t="e">
        <f>IF(AND(F21,F22),0,(B21+B22+B23)/3)</f>
        <v>#DIV/0!</v>
      </c>
    </row>
    <row r="22" spans="1:9" s="1" customFormat="1" x14ac:dyDescent="0.25">
      <c r="A22" s="1" t="s">
        <v>142</v>
      </c>
      <c r="B22" s="1" t="e">
        <f>'YF MAC-ON'!L16</f>
        <v>#DIV/0!</v>
      </c>
      <c r="C22" s="1" t="e">
        <f>MEDIAN(B21:B23)</f>
        <v>#DIV/0!</v>
      </c>
      <c r="D22" s="1" t="s">
        <v>48</v>
      </c>
      <c r="E22" s="1" t="e">
        <f>C22-C23</f>
        <v>#DIV/0!</v>
      </c>
      <c r="F22" s="1" t="e">
        <f>IF(E22&lt;0.3,AVERAGE(C22:C23),0)</f>
        <v>#DIV/0!</v>
      </c>
      <c r="H22" s="26"/>
    </row>
    <row r="23" spans="1:9" s="1" customFormat="1" x14ac:dyDescent="0.25">
      <c r="A23" s="1" t="s">
        <v>143</v>
      </c>
      <c r="B23" s="1" t="e">
        <f>'YF MAC-ON'!L17</f>
        <v>#DIV/0!</v>
      </c>
      <c r="C23" s="1" t="e">
        <f>MIN(B21:B23)</f>
        <v>#DIV/0!</v>
      </c>
      <c r="D23" s="1" t="s">
        <v>49</v>
      </c>
      <c r="H23" s="26"/>
    </row>
    <row r="24" spans="1:9" s="1" customFormat="1" x14ac:dyDescent="0.25">
      <c r="A24" s="1" t="s">
        <v>7</v>
      </c>
      <c r="B24" s="1" t="s">
        <v>8</v>
      </c>
      <c r="F24" s="1" t="s">
        <v>60</v>
      </c>
      <c r="G24" s="1" t="e">
        <f>MIN(E21:E22)</f>
        <v>#DIV/0!</v>
      </c>
      <c r="H24" s="26"/>
    </row>
    <row r="25" spans="1:9" s="1" customFormat="1" x14ac:dyDescent="0.25">
      <c r="G25" s="1" t="e">
        <f>IF(G21&gt;0,G21,(MAX(F21:F22)))</f>
        <v>#DIV/0!</v>
      </c>
      <c r="H25" s="26"/>
    </row>
    <row r="26" spans="1:9" s="1" customFormat="1" x14ac:dyDescent="0.25">
      <c r="G26" s="1" t="e">
        <f>IF(G21&gt;0,G21,H21)</f>
        <v>#DIV/0!</v>
      </c>
      <c r="H26" s="26"/>
    </row>
    <row r="27" spans="1:9" s="1" customFormat="1" x14ac:dyDescent="0.25">
      <c r="F27" s="1" t="s">
        <v>59</v>
      </c>
      <c r="G27" s="1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Spreadsheet explanation</vt:lpstr>
      <vt:lpstr>YF MAC-HD</vt:lpstr>
      <vt:lpstr>Example YF MAC-HD (French)</vt:lpstr>
      <vt:lpstr>YF MAC-HD control check</vt:lpstr>
      <vt:lpstr>YF MAC-ON</vt:lpstr>
      <vt:lpstr>Example YF MAC-ON (French)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2024-06-19T14:42:44Z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